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pivotTables/pivotTable2.xml" ContentType="application/vnd.openxmlformats-officedocument.spreadsheetml.pivot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constantind/Documents/Programmieren/Projects/Project-7 - Equity Research/"/>
    </mc:Choice>
  </mc:AlternateContent>
  <xr:revisionPtr revIDLastSave="0" documentId="13_ncr:1_{A665DE78-830A-054F-8FEF-EA825DDFF29F}" xr6:coauthVersionLast="47" xr6:coauthVersionMax="47" xr10:uidLastSave="{00000000-0000-0000-0000-000000000000}"/>
  <bookViews>
    <workbookView xWindow="0" yWindow="640" windowWidth="29400" windowHeight="17340" activeTab="1" xr2:uid="{643CAA52-189D-2C48-976B-0D186145170D}"/>
  </bookViews>
  <sheets>
    <sheet name="IS" sheetId="12" r:id="rId1"/>
    <sheet name="BS" sheetId="2" r:id="rId2"/>
    <sheet name="CF" sheetId="13" r:id="rId3"/>
    <sheet name="NWC" sheetId="17" r:id="rId4"/>
    <sheet name="WACC" sheetId="18" r:id="rId5"/>
    <sheet name="Comparables" sheetId="11" r:id="rId6"/>
    <sheet name="Valuation" sheetId="21" r:id="rId7"/>
    <sheet name="AS1" sheetId="8" r:id="rId8"/>
    <sheet name="AS2" sheetId="15" r:id="rId9"/>
    <sheet name="SO" sheetId="14" r:id="rId10"/>
    <sheet name="STATS" sheetId="16" r:id="rId11"/>
    <sheet name="Nuuly Subscribers Pivot" sheetId="10" r:id="rId12"/>
    <sheet name="Number of Stores" sheetId="1" r:id="rId13"/>
    <sheet name="Economic &amp; Market Data" sheetId="25" r:id="rId14"/>
    <sheet name="Sales by Segment" sheetId="7" r:id="rId15"/>
    <sheet name="IS-Metrics" sheetId="19" state="hidden" r:id="rId16"/>
    <sheet name="COMP DATA" sheetId="20" state="hidden" r:id="rId17"/>
  </sheets>
  <definedNames>
    <definedName name="_xlnm._FilterDatabase" localSheetId="16" hidden="1">'COMP DATA'!$A$1:$L$1714</definedName>
    <definedName name="_xlchart.v1.0" hidden="1">'Economic &amp; Market Data'!$C$20:$C$32</definedName>
    <definedName name="_xlchart.v1.1" hidden="1">'Economic &amp; Market Data'!$D$20:$D$32</definedName>
  </definedNames>
  <calcPr calcId="191029"/>
  <pivotCaches>
    <pivotCache cacheId="11" r:id="rId18"/>
    <pivotCache cacheId="12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6" i="2" l="1"/>
  <c r="K36" i="2"/>
  <c r="L35" i="2"/>
  <c r="M35" i="2"/>
  <c r="K35" i="2"/>
  <c r="I43" i="2"/>
  <c r="I44" i="2"/>
  <c r="I45" i="2"/>
  <c r="I46" i="2"/>
  <c r="I42" i="2"/>
  <c r="I32" i="2"/>
  <c r="I36" i="2"/>
  <c r="I35" i="2"/>
  <c r="I30" i="2"/>
  <c r="I31" i="2"/>
  <c r="I29" i="2"/>
  <c r="I19" i="2"/>
  <c r="I20" i="2"/>
  <c r="I21" i="2"/>
  <c r="I18" i="2"/>
  <c r="I11" i="2"/>
  <c r="I12" i="2"/>
  <c r="I13" i="2"/>
  <c r="I14" i="2"/>
  <c r="I10" i="2"/>
  <c r="K9" i="13" l="1"/>
  <c r="K10" i="13"/>
  <c r="K11" i="13"/>
  <c r="K12" i="13"/>
  <c r="K13" i="13"/>
  <c r="K14" i="13"/>
  <c r="K15" i="13"/>
  <c r="K16" i="13"/>
  <c r="K18" i="13"/>
  <c r="K19" i="13"/>
  <c r="K20" i="13"/>
  <c r="K21" i="13"/>
  <c r="K22" i="13"/>
  <c r="K26" i="13"/>
  <c r="K30" i="13" s="1"/>
  <c r="K27" i="13"/>
  <c r="K28" i="13"/>
  <c r="K29" i="13"/>
  <c r="I30" i="13"/>
  <c r="J30" i="13"/>
  <c r="K33" i="13"/>
  <c r="K37" i="13" s="1"/>
  <c r="K34" i="13"/>
  <c r="K35" i="13"/>
  <c r="K36" i="13"/>
  <c r="I37" i="13"/>
  <c r="J37" i="13"/>
  <c r="K39" i="13"/>
  <c r="K47" i="13"/>
  <c r="K48" i="13"/>
  <c r="K49" i="13"/>
  <c r="I22" i="2"/>
  <c r="I33" i="2"/>
  <c r="I37" i="2"/>
  <c r="C20" i="16"/>
  <c r="C21" i="16"/>
  <c r="C22" i="16"/>
  <c r="C26" i="10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D142" i="25"/>
  <c r="C142" i="25"/>
  <c r="C109" i="25"/>
  <c r="C110" i="25" s="1"/>
  <c r="C111" i="25" s="1"/>
  <c r="C112" i="25" s="1"/>
  <c r="O21" i="1"/>
  <c r="O24" i="1" s="1"/>
  <c r="P21" i="1"/>
  <c r="Q21" i="1"/>
  <c r="Q24" i="1" s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P24" i="1"/>
  <c r="M18" i="1"/>
  <c r="N18" i="1"/>
  <c r="O18" i="1"/>
  <c r="P18" i="1"/>
  <c r="Q18" i="1"/>
  <c r="M12" i="1"/>
  <c r="N12" i="1"/>
  <c r="O12" i="1"/>
  <c r="P12" i="1"/>
  <c r="Q12" i="1"/>
  <c r="F8" i="7"/>
  <c r="E8" i="7"/>
  <c r="F7" i="21"/>
  <c r="D7" i="21"/>
  <c r="AA64" i="12"/>
  <c r="AA63" i="12" s="1"/>
  <c r="AA66" i="12"/>
  <c r="AA67" i="12" s="1"/>
  <c r="AA57" i="12"/>
  <c r="AA58" i="12" s="1"/>
  <c r="AA55" i="12"/>
  <c r="AA54" i="12" s="1"/>
  <c r="G17" i="8"/>
  <c r="H17" i="8" s="1"/>
  <c r="I17" i="8" s="1"/>
  <c r="J17" i="8" s="1"/>
  <c r="K53" i="8"/>
  <c r="L53" i="8" s="1"/>
  <c r="M53" i="8" s="1"/>
  <c r="N53" i="8" s="1"/>
  <c r="O53" i="8" s="1"/>
  <c r="B1" i="21"/>
  <c r="CS38" i="11"/>
  <c r="CR38" i="11"/>
  <c r="AR38" i="11"/>
  <c r="CS37" i="11"/>
  <c r="CR37" i="11"/>
  <c r="AR37" i="11"/>
  <c r="CS28" i="11"/>
  <c r="CR28" i="11"/>
  <c r="AR28" i="11"/>
  <c r="CS27" i="11"/>
  <c r="CR27" i="11"/>
  <c r="AR27" i="11"/>
  <c r="AR17" i="11"/>
  <c r="CR17" i="11"/>
  <c r="AR18" i="11"/>
  <c r="CR18" i="11"/>
  <c r="I39" i="2" l="1"/>
  <c r="J58" i="2"/>
  <c r="I58" i="2"/>
  <c r="Q30" i="1"/>
  <c r="O30" i="1"/>
  <c r="P30" i="1"/>
  <c r="E7" i="21"/>
  <c r="AP35" i="11" l="1"/>
  <c r="AO35" i="11"/>
  <c r="AN35" i="11"/>
  <c r="AM35" i="11"/>
  <c r="AL35" i="11"/>
  <c r="AK35" i="11"/>
  <c r="AI35" i="11"/>
  <c r="AH35" i="11"/>
  <c r="AG35" i="11"/>
  <c r="AF35" i="11"/>
  <c r="AP34" i="11"/>
  <c r="AO34" i="11"/>
  <c r="AN34" i="11"/>
  <c r="AM34" i="11"/>
  <c r="AL34" i="11"/>
  <c r="AK34" i="11"/>
  <c r="AI34" i="11"/>
  <c r="AH34" i="11"/>
  <c r="AG34" i="11"/>
  <c r="AF34" i="11"/>
  <c r="AP33" i="11"/>
  <c r="AO33" i="11"/>
  <c r="AN33" i="11"/>
  <c r="AM33" i="11"/>
  <c r="AL33" i="11"/>
  <c r="AK33" i="11"/>
  <c r="AI33" i="11"/>
  <c r="AH33" i="11"/>
  <c r="AG33" i="11"/>
  <c r="BU33" i="11" s="1"/>
  <c r="AF33" i="11"/>
  <c r="AP32" i="11"/>
  <c r="AO32" i="11"/>
  <c r="AN32" i="11"/>
  <c r="AM32" i="11"/>
  <c r="AL32" i="11"/>
  <c r="AK32" i="11"/>
  <c r="AI32" i="11"/>
  <c r="AH32" i="11"/>
  <c r="AG32" i="11"/>
  <c r="BU32" i="11" s="1"/>
  <c r="AF32" i="11"/>
  <c r="AP31" i="11"/>
  <c r="AO31" i="11"/>
  <c r="AN31" i="11"/>
  <c r="AM31" i="11"/>
  <c r="AL31" i="11"/>
  <c r="AK31" i="11"/>
  <c r="AI31" i="11"/>
  <c r="AH31" i="11"/>
  <c r="AG31" i="11"/>
  <c r="AF31" i="11"/>
  <c r="BE35" i="11"/>
  <c r="BD35" i="11"/>
  <c r="BC35" i="11"/>
  <c r="BA35" i="11"/>
  <c r="AZ35" i="11"/>
  <c r="AY35" i="11"/>
  <c r="AW35" i="11"/>
  <c r="AV35" i="11"/>
  <c r="AU35" i="11"/>
  <c r="AT35" i="11"/>
  <c r="BE34" i="11"/>
  <c r="BD34" i="11"/>
  <c r="BC34" i="11"/>
  <c r="BA34" i="11"/>
  <c r="AZ34" i="11"/>
  <c r="AY34" i="11"/>
  <c r="AW34" i="11"/>
  <c r="AV34" i="11"/>
  <c r="AU34" i="11"/>
  <c r="AT34" i="11"/>
  <c r="BE33" i="11"/>
  <c r="BD33" i="11"/>
  <c r="BC33" i="11"/>
  <c r="BA33" i="11"/>
  <c r="AZ33" i="11"/>
  <c r="AY33" i="11"/>
  <c r="AW33" i="11"/>
  <c r="AV33" i="11"/>
  <c r="AU33" i="11"/>
  <c r="AT33" i="11"/>
  <c r="BE32" i="11"/>
  <c r="BD32" i="11"/>
  <c r="BC32" i="11"/>
  <c r="BA32" i="11"/>
  <c r="AZ32" i="11"/>
  <c r="AY32" i="11"/>
  <c r="AW32" i="11"/>
  <c r="AV32" i="11"/>
  <c r="AU32" i="11"/>
  <c r="AT32" i="11"/>
  <c r="BE31" i="11"/>
  <c r="BD31" i="11"/>
  <c r="BC31" i="11"/>
  <c r="BA31" i="11"/>
  <c r="AZ31" i="11"/>
  <c r="AY31" i="11"/>
  <c r="AW31" i="11"/>
  <c r="AV31" i="11"/>
  <c r="AU31" i="11"/>
  <c r="AT31" i="11"/>
  <c r="CE35" i="11"/>
  <c r="CD35" i="11"/>
  <c r="CA35" i="11"/>
  <c r="BZ35" i="11"/>
  <c r="BY35" i="11"/>
  <c r="BX35" i="11"/>
  <c r="CC35" i="11" s="1"/>
  <c r="BV35" i="11"/>
  <c r="BU35" i="11"/>
  <c r="CE34" i="11"/>
  <c r="CD34" i="11"/>
  <c r="CA34" i="11"/>
  <c r="BZ34" i="11"/>
  <c r="BY34" i="11"/>
  <c r="BX34" i="11"/>
  <c r="BV34" i="11"/>
  <c r="BU34" i="11"/>
  <c r="CE33" i="11"/>
  <c r="CD33" i="11"/>
  <c r="CA33" i="11"/>
  <c r="BZ33" i="11"/>
  <c r="BY33" i="11"/>
  <c r="BX33" i="11"/>
  <c r="BV33" i="11"/>
  <c r="CE32" i="11"/>
  <c r="CD32" i="11"/>
  <c r="CA32" i="11"/>
  <c r="BZ32" i="11"/>
  <c r="BY32" i="11"/>
  <c r="BX32" i="11"/>
  <c r="BV32" i="11"/>
  <c r="CE31" i="11"/>
  <c r="CD31" i="11"/>
  <c r="CA31" i="11"/>
  <c r="BZ31" i="11"/>
  <c r="BY31" i="11"/>
  <c r="BX31" i="11"/>
  <c r="BV31" i="11"/>
  <c r="BU31" i="11"/>
  <c r="CE25" i="11"/>
  <c r="CD25" i="11"/>
  <c r="CA25" i="11"/>
  <c r="BZ25" i="11"/>
  <c r="BY25" i="11"/>
  <c r="BX25" i="11"/>
  <c r="BV25" i="11"/>
  <c r="CE24" i="11"/>
  <c r="CD24" i="11"/>
  <c r="CA24" i="11"/>
  <c r="BZ24" i="11"/>
  <c r="BY24" i="11"/>
  <c r="BX24" i="11"/>
  <c r="BV24" i="11"/>
  <c r="CE23" i="11"/>
  <c r="CD23" i="11"/>
  <c r="CA23" i="11"/>
  <c r="BZ23" i="11"/>
  <c r="BY23" i="11"/>
  <c r="BX23" i="11"/>
  <c r="BV23" i="11"/>
  <c r="CE22" i="11"/>
  <c r="CD22" i="11"/>
  <c r="CA22" i="11"/>
  <c r="BZ22" i="11"/>
  <c r="BY22" i="11"/>
  <c r="BX22" i="11"/>
  <c r="BV22" i="11"/>
  <c r="CE21" i="11"/>
  <c r="CD21" i="11"/>
  <c r="CA21" i="11"/>
  <c r="BZ21" i="11"/>
  <c r="BY21" i="11"/>
  <c r="BX21" i="11"/>
  <c r="BV21" i="11"/>
  <c r="BV15" i="11"/>
  <c r="BX15" i="11"/>
  <c r="BY15" i="11"/>
  <c r="BZ15" i="11"/>
  <c r="CA15" i="11"/>
  <c r="CD15" i="11"/>
  <c r="CE15" i="11"/>
  <c r="BV12" i="11"/>
  <c r="BX12" i="11"/>
  <c r="BY12" i="11"/>
  <c r="BZ12" i="11"/>
  <c r="CA12" i="11"/>
  <c r="CD12" i="11"/>
  <c r="CE12" i="11"/>
  <c r="BU13" i="11"/>
  <c r="BV13" i="11"/>
  <c r="BX13" i="11"/>
  <c r="BY13" i="11"/>
  <c r="BZ13" i="11"/>
  <c r="CA13" i="11"/>
  <c r="CD13" i="11"/>
  <c r="CE13" i="11"/>
  <c r="BV14" i="11"/>
  <c r="BX14" i="11"/>
  <c r="BY14" i="11"/>
  <c r="BZ14" i="11"/>
  <c r="CA14" i="11"/>
  <c r="CD14" i="11"/>
  <c r="CE14" i="11"/>
  <c r="CE11" i="11"/>
  <c r="CA11" i="11"/>
  <c r="BZ11" i="11"/>
  <c r="BY11" i="11"/>
  <c r="BX11" i="11"/>
  <c r="BV11" i="11"/>
  <c r="BE25" i="11"/>
  <c r="BD25" i="11"/>
  <c r="BC25" i="11"/>
  <c r="BA25" i="11"/>
  <c r="AZ25" i="11"/>
  <c r="AY25" i="11"/>
  <c r="AW25" i="11"/>
  <c r="AV25" i="11"/>
  <c r="AU25" i="11"/>
  <c r="AT25" i="11"/>
  <c r="BE24" i="11"/>
  <c r="BD24" i="11"/>
  <c r="BC24" i="11"/>
  <c r="BA24" i="11"/>
  <c r="AZ24" i="11"/>
  <c r="AY24" i="11"/>
  <c r="AW24" i="11"/>
  <c r="AV24" i="11"/>
  <c r="AU24" i="11"/>
  <c r="AT24" i="11"/>
  <c r="BE23" i="11"/>
  <c r="BD23" i="11"/>
  <c r="BC23" i="11"/>
  <c r="BA23" i="11"/>
  <c r="AZ23" i="11"/>
  <c r="AY23" i="11"/>
  <c r="AW23" i="11"/>
  <c r="AV23" i="11"/>
  <c r="AU23" i="11"/>
  <c r="AT23" i="11"/>
  <c r="BE22" i="11"/>
  <c r="BD22" i="11"/>
  <c r="BC22" i="11"/>
  <c r="BA22" i="11"/>
  <c r="AZ22" i="11"/>
  <c r="AY22" i="11"/>
  <c r="AW22" i="11"/>
  <c r="AV22" i="11"/>
  <c r="AU22" i="11"/>
  <c r="AT22" i="11"/>
  <c r="BE21" i="11"/>
  <c r="BD21" i="11"/>
  <c r="BC21" i="11"/>
  <c r="BA21" i="11"/>
  <c r="AZ21" i="11"/>
  <c r="AY21" i="11"/>
  <c r="AW21" i="11"/>
  <c r="AV21" i="11"/>
  <c r="AU21" i="11"/>
  <c r="AT21" i="11"/>
  <c r="AP25" i="11"/>
  <c r="AO25" i="11"/>
  <c r="AN25" i="11"/>
  <c r="AM25" i="11"/>
  <c r="AL25" i="11"/>
  <c r="AK25" i="11"/>
  <c r="AI25" i="11"/>
  <c r="AH25" i="11"/>
  <c r="AG25" i="11"/>
  <c r="BU25" i="11" s="1"/>
  <c r="AF25" i="11"/>
  <c r="AP24" i="11"/>
  <c r="AO24" i="11"/>
  <c r="AN24" i="11"/>
  <c r="AM24" i="11"/>
  <c r="AL24" i="11"/>
  <c r="AK24" i="11"/>
  <c r="AI24" i="11"/>
  <c r="AH24" i="11"/>
  <c r="AG24" i="11"/>
  <c r="BU24" i="11" s="1"/>
  <c r="AF24" i="11"/>
  <c r="AP23" i="11"/>
  <c r="AO23" i="11"/>
  <c r="AN23" i="11"/>
  <c r="AM23" i="11"/>
  <c r="AL23" i="11"/>
  <c r="AK23" i="11"/>
  <c r="AI23" i="11"/>
  <c r="AH23" i="11"/>
  <c r="AG23" i="11"/>
  <c r="BU23" i="11" s="1"/>
  <c r="AF23" i="11"/>
  <c r="AP22" i="11"/>
  <c r="AO22" i="11"/>
  <c r="AN22" i="11"/>
  <c r="AM22" i="11"/>
  <c r="AL22" i="11"/>
  <c r="AK22" i="11"/>
  <c r="AI22" i="11"/>
  <c r="AH22" i="11"/>
  <c r="AG22" i="11"/>
  <c r="BU22" i="11" s="1"/>
  <c r="AF22" i="11"/>
  <c r="AP21" i="11"/>
  <c r="AO21" i="11"/>
  <c r="AN21" i="11"/>
  <c r="AM21" i="11"/>
  <c r="AL21" i="11"/>
  <c r="AK21" i="11"/>
  <c r="AI21" i="11"/>
  <c r="AH21" i="11"/>
  <c r="AG21" i="11"/>
  <c r="BU21" i="11" s="1"/>
  <c r="AF21" i="11"/>
  <c r="AT12" i="11"/>
  <c r="AU12" i="11"/>
  <c r="AV12" i="11"/>
  <c r="AW12" i="11"/>
  <c r="AY12" i="11"/>
  <c r="AZ12" i="11"/>
  <c r="BA12" i="11"/>
  <c r="BC12" i="11"/>
  <c r="BD12" i="11"/>
  <c r="BE12" i="11"/>
  <c r="AT13" i="11"/>
  <c r="AU13" i="11"/>
  <c r="AV13" i="11"/>
  <c r="AW13" i="11"/>
  <c r="AY13" i="11"/>
  <c r="AZ13" i="11"/>
  <c r="BA13" i="11"/>
  <c r="BC13" i="11"/>
  <c r="BD13" i="11"/>
  <c r="BE13" i="11"/>
  <c r="AT14" i="11"/>
  <c r="AU14" i="11"/>
  <c r="AV14" i="11"/>
  <c r="AW14" i="11"/>
  <c r="AY14" i="11"/>
  <c r="AZ14" i="11"/>
  <c r="BA14" i="11"/>
  <c r="BC14" i="11"/>
  <c r="BD14" i="11"/>
  <c r="BE14" i="11"/>
  <c r="AT15" i="11"/>
  <c r="AU15" i="11"/>
  <c r="AV15" i="11"/>
  <c r="AW15" i="11"/>
  <c r="AY15" i="11"/>
  <c r="AZ15" i="11"/>
  <c r="BA15" i="11"/>
  <c r="BC15" i="11"/>
  <c r="BD15" i="11"/>
  <c r="BE15" i="11"/>
  <c r="BE11" i="11"/>
  <c r="BD11" i="11"/>
  <c r="BC11" i="11"/>
  <c r="BA11" i="11"/>
  <c r="AZ11" i="11"/>
  <c r="AY11" i="11"/>
  <c r="AV11" i="11"/>
  <c r="AU11" i="11"/>
  <c r="AT11" i="11"/>
  <c r="AF12" i="11"/>
  <c r="AG12" i="11"/>
  <c r="BU12" i="11" s="1"/>
  <c r="AH12" i="11"/>
  <c r="AI12" i="11"/>
  <c r="AK12" i="11"/>
  <c r="AL12" i="11"/>
  <c r="AM12" i="11"/>
  <c r="AN12" i="11"/>
  <c r="AO12" i="11"/>
  <c r="AP12" i="11"/>
  <c r="AF13" i="11"/>
  <c r="AG13" i="11"/>
  <c r="AH13" i="11"/>
  <c r="AI13" i="11"/>
  <c r="AK13" i="11"/>
  <c r="AL13" i="11"/>
  <c r="AM13" i="11"/>
  <c r="AN13" i="11"/>
  <c r="AO13" i="11"/>
  <c r="AP13" i="11"/>
  <c r="AF14" i="11"/>
  <c r="AG14" i="11"/>
  <c r="BU14" i="11" s="1"/>
  <c r="AH14" i="11"/>
  <c r="AI14" i="11"/>
  <c r="AK14" i="11"/>
  <c r="AL14" i="11"/>
  <c r="AM14" i="11"/>
  <c r="AN14" i="11"/>
  <c r="AO14" i="11"/>
  <c r="AP14" i="11"/>
  <c r="AF15" i="11"/>
  <c r="AG15" i="11"/>
  <c r="BU15" i="11" s="1"/>
  <c r="AH15" i="11"/>
  <c r="AI15" i="11"/>
  <c r="AK15" i="11"/>
  <c r="AL15" i="11"/>
  <c r="AM15" i="11"/>
  <c r="AN15" i="11"/>
  <c r="AO15" i="11"/>
  <c r="AP15" i="11"/>
  <c r="AP11" i="11"/>
  <c r="AO11" i="11"/>
  <c r="AN11" i="11"/>
  <c r="AM11" i="11"/>
  <c r="AL11" i="11"/>
  <c r="AK11" i="11"/>
  <c r="AI11" i="11"/>
  <c r="AH11" i="11"/>
  <c r="AG11" i="11"/>
  <c r="AF11" i="11"/>
  <c r="CD11" i="11"/>
  <c r="CS11" i="11"/>
  <c r="CS41" i="11" s="1"/>
  <c r="F35" i="11"/>
  <c r="G35" i="11" s="1"/>
  <c r="BQ35" i="11" s="1"/>
  <c r="F34" i="11"/>
  <c r="G34" i="11" s="1"/>
  <c r="BR34" i="11" s="1"/>
  <c r="F33" i="11"/>
  <c r="G33" i="11" s="1"/>
  <c r="BS33" i="11" s="1"/>
  <c r="F32" i="11"/>
  <c r="G32" i="11" s="1"/>
  <c r="BS32" i="11" s="1"/>
  <c r="F31" i="11"/>
  <c r="G31" i="11" s="1"/>
  <c r="CM31" i="11" s="1"/>
  <c r="F25" i="11"/>
  <c r="G25" i="11" s="1"/>
  <c r="BL25" i="11" s="1"/>
  <c r="F24" i="11"/>
  <c r="G24" i="11" s="1"/>
  <c r="BN24" i="11" s="1"/>
  <c r="F23" i="11"/>
  <c r="G23" i="11" s="1"/>
  <c r="BP23" i="11" s="1"/>
  <c r="F22" i="11"/>
  <c r="G22" i="11" s="1"/>
  <c r="BQ22" i="11" s="1"/>
  <c r="F21" i="11"/>
  <c r="G21" i="11" s="1"/>
  <c r="BR21" i="11" s="1"/>
  <c r="F12" i="11"/>
  <c r="G12" i="11" s="1"/>
  <c r="CM12" i="11" s="1"/>
  <c r="F13" i="11"/>
  <c r="G13" i="11" s="1"/>
  <c r="CM13" i="11" s="1"/>
  <c r="F14" i="11"/>
  <c r="G14" i="11" s="1"/>
  <c r="CM14" i="11" s="1"/>
  <c r="F15" i="11"/>
  <c r="G15" i="11" s="1"/>
  <c r="CM15" i="11" s="1"/>
  <c r="F11" i="11"/>
  <c r="G11" i="11" s="1"/>
  <c r="BP11" i="11" s="1"/>
  <c r="I8" i="11"/>
  <c r="K8" i="11"/>
  <c r="D19" i="14"/>
  <c r="C19" i="14"/>
  <c r="R18" i="12"/>
  <c r="AC11" i="12"/>
  <c r="AC39" i="12"/>
  <c r="Q39" i="12"/>
  <c r="P39" i="12"/>
  <c r="C18" i="17"/>
  <c r="D12" i="17"/>
  <c r="E12" i="17"/>
  <c r="F12" i="17"/>
  <c r="G12" i="17"/>
  <c r="C12" i="17"/>
  <c r="D11" i="17"/>
  <c r="E11" i="17"/>
  <c r="F11" i="17"/>
  <c r="G11" i="17"/>
  <c r="C11" i="17"/>
  <c r="L35" i="13"/>
  <c r="M35" i="13"/>
  <c r="P22" i="12"/>
  <c r="P19" i="12" s="1"/>
  <c r="Q22" i="12"/>
  <c r="Q19" i="12" s="1"/>
  <c r="K22" i="12"/>
  <c r="K19" i="12" s="1"/>
  <c r="L22" i="12"/>
  <c r="L38" i="12" s="1"/>
  <c r="M22" i="12"/>
  <c r="M19" i="12" s="1"/>
  <c r="N22" i="12"/>
  <c r="N38" i="12" s="1"/>
  <c r="J22" i="12"/>
  <c r="J38" i="12" s="1"/>
  <c r="J44" i="2"/>
  <c r="K44" i="2" s="1"/>
  <c r="L44" i="2" s="1"/>
  <c r="M44" i="2" s="1"/>
  <c r="N44" i="2" s="1"/>
  <c r="J42" i="2"/>
  <c r="K42" i="2" s="1"/>
  <c r="L42" i="2" s="1"/>
  <c r="M42" i="2" s="1"/>
  <c r="N42" i="2" s="1"/>
  <c r="J43" i="2"/>
  <c r="K43" i="2" s="1"/>
  <c r="L43" i="2" s="1"/>
  <c r="M43" i="2" s="1"/>
  <c r="N43" i="2" s="1"/>
  <c r="Q60" i="12"/>
  <c r="P60" i="12"/>
  <c r="K60" i="12"/>
  <c r="L60" i="12"/>
  <c r="M60" i="12"/>
  <c r="N60" i="12"/>
  <c r="J60" i="12"/>
  <c r="Q55" i="12"/>
  <c r="P55" i="12"/>
  <c r="K55" i="12"/>
  <c r="L55" i="12"/>
  <c r="M55" i="12"/>
  <c r="N55" i="12"/>
  <c r="J55" i="12"/>
  <c r="Q81" i="12"/>
  <c r="P81" i="12"/>
  <c r="K81" i="12"/>
  <c r="L81" i="12"/>
  <c r="M81" i="12"/>
  <c r="N81" i="12"/>
  <c r="J81" i="12"/>
  <c r="Q80" i="12"/>
  <c r="P80" i="12"/>
  <c r="K80" i="12"/>
  <c r="L80" i="12"/>
  <c r="M80" i="12"/>
  <c r="N80" i="12"/>
  <c r="J80" i="12"/>
  <c r="R27" i="12"/>
  <c r="R31" i="12"/>
  <c r="R81" i="12" s="1"/>
  <c r="J18" i="12"/>
  <c r="R11" i="12"/>
  <c r="R26" i="12"/>
  <c r="K5" i="2"/>
  <c r="L5" i="2"/>
  <c r="M5" i="2"/>
  <c r="N5" i="2"/>
  <c r="J5" i="2"/>
  <c r="E5" i="2"/>
  <c r="F5" i="2"/>
  <c r="G5" i="2"/>
  <c r="H5" i="2"/>
  <c r="D5" i="2"/>
  <c r="M5" i="13"/>
  <c r="N5" i="13"/>
  <c r="O5" i="13"/>
  <c r="P5" i="13"/>
  <c r="L5" i="13"/>
  <c r="E5" i="13"/>
  <c r="F5" i="13"/>
  <c r="G5" i="13"/>
  <c r="H5" i="13"/>
  <c r="D5" i="13"/>
  <c r="CR8" i="11"/>
  <c r="CS40" i="11"/>
  <c r="CR41" i="11"/>
  <c r="CR42" i="11"/>
  <c r="CS42" i="11"/>
  <c r="CF43" i="11"/>
  <c r="CS43" i="11"/>
  <c r="C2" i="20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C1001" i="20"/>
  <c r="C1002" i="20"/>
  <c r="C1003" i="20"/>
  <c r="C1004" i="20"/>
  <c r="C1005" i="20"/>
  <c r="C1006" i="20"/>
  <c r="C1007" i="20"/>
  <c r="C1008" i="20"/>
  <c r="C1009" i="20"/>
  <c r="C1010" i="20"/>
  <c r="C1011" i="20"/>
  <c r="C1012" i="20"/>
  <c r="C1013" i="20"/>
  <c r="C1014" i="20"/>
  <c r="C1015" i="20"/>
  <c r="C1016" i="20"/>
  <c r="C1017" i="20"/>
  <c r="C1018" i="20"/>
  <c r="C1019" i="20"/>
  <c r="C1020" i="20"/>
  <c r="C1021" i="20"/>
  <c r="C1022" i="20"/>
  <c r="C1023" i="20"/>
  <c r="C1024" i="20"/>
  <c r="C1025" i="20"/>
  <c r="C1026" i="20"/>
  <c r="C1027" i="20"/>
  <c r="C1028" i="20"/>
  <c r="C1029" i="20"/>
  <c r="C1030" i="20"/>
  <c r="C1031" i="20"/>
  <c r="C1032" i="20"/>
  <c r="C1033" i="20"/>
  <c r="C1034" i="20"/>
  <c r="C1035" i="20"/>
  <c r="C1036" i="20"/>
  <c r="C1037" i="20"/>
  <c r="C1038" i="20"/>
  <c r="C1039" i="20"/>
  <c r="C1040" i="20"/>
  <c r="C1041" i="20"/>
  <c r="C1042" i="20"/>
  <c r="C1043" i="20"/>
  <c r="C1044" i="20"/>
  <c r="C1045" i="20"/>
  <c r="C1046" i="20"/>
  <c r="C1047" i="20"/>
  <c r="C1048" i="20"/>
  <c r="C1049" i="20"/>
  <c r="C1050" i="20"/>
  <c r="C1051" i="20"/>
  <c r="C1052" i="20"/>
  <c r="C1053" i="20"/>
  <c r="C1054" i="20"/>
  <c r="C1055" i="20"/>
  <c r="C1056" i="20"/>
  <c r="C1057" i="20"/>
  <c r="C1058" i="20"/>
  <c r="C1059" i="20"/>
  <c r="C1060" i="20"/>
  <c r="C1061" i="20"/>
  <c r="C1062" i="20"/>
  <c r="C1063" i="20"/>
  <c r="C1064" i="20"/>
  <c r="C1065" i="20"/>
  <c r="C1066" i="20"/>
  <c r="C1067" i="20"/>
  <c r="C1068" i="20"/>
  <c r="C1069" i="20"/>
  <c r="C1070" i="20"/>
  <c r="C1071" i="20"/>
  <c r="C1072" i="20"/>
  <c r="C1073" i="20"/>
  <c r="C1074" i="20"/>
  <c r="C1075" i="20"/>
  <c r="C1076" i="20"/>
  <c r="C1077" i="20"/>
  <c r="C1078" i="20"/>
  <c r="C1079" i="20"/>
  <c r="C1080" i="20"/>
  <c r="C1081" i="20"/>
  <c r="C1082" i="20"/>
  <c r="C1083" i="20"/>
  <c r="C1084" i="20"/>
  <c r="C1085" i="20"/>
  <c r="C1086" i="20"/>
  <c r="C1087" i="20"/>
  <c r="C1088" i="20"/>
  <c r="C1089" i="20"/>
  <c r="C1090" i="20"/>
  <c r="C1091" i="20"/>
  <c r="C1092" i="20"/>
  <c r="C1093" i="20"/>
  <c r="C1094" i="20"/>
  <c r="C1095" i="20"/>
  <c r="C1096" i="20"/>
  <c r="C1097" i="20"/>
  <c r="C1098" i="20"/>
  <c r="C1099" i="20"/>
  <c r="C1100" i="20"/>
  <c r="C1101" i="20"/>
  <c r="C1102" i="20"/>
  <c r="C1103" i="20"/>
  <c r="C1104" i="20"/>
  <c r="C1105" i="20"/>
  <c r="C1106" i="20"/>
  <c r="C1107" i="20"/>
  <c r="C1108" i="20"/>
  <c r="C1109" i="20"/>
  <c r="C1110" i="20"/>
  <c r="C1111" i="20"/>
  <c r="C1112" i="20"/>
  <c r="C1113" i="20"/>
  <c r="C1114" i="20"/>
  <c r="C1115" i="20"/>
  <c r="C1116" i="20"/>
  <c r="C1117" i="20"/>
  <c r="C1118" i="20"/>
  <c r="C1119" i="20"/>
  <c r="C1120" i="20"/>
  <c r="C1121" i="20"/>
  <c r="C1122" i="20"/>
  <c r="C1123" i="20"/>
  <c r="C1124" i="20"/>
  <c r="C1125" i="20"/>
  <c r="C1126" i="20"/>
  <c r="C1127" i="20"/>
  <c r="C1128" i="20"/>
  <c r="C1129" i="20"/>
  <c r="C1130" i="20"/>
  <c r="C1131" i="20"/>
  <c r="C1132" i="20"/>
  <c r="C1133" i="20"/>
  <c r="C1134" i="20"/>
  <c r="C1135" i="20"/>
  <c r="C1136" i="20"/>
  <c r="C1137" i="20"/>
  <c r="C1138" i="20"/>
  <c r="C1139" i="20"/>
  <c r="C1140" i="20"/>
  <c r="C1141" i="20"/>
  <c r="C1142" i="20"/>
  <c r="C1143" i="20"/>
  <c r="C1144" i="20"/>
  <c r="C1145" i="20"/>
  <c r="C1146" i="20"/>
  <c r="C1147" i="20"/>
  <c r="C1148" i="20"/>
  <c r="C1149" i="20"/>
  <c r="C1150" i="20"/>
  <c r="C1151" i="20"/>
  <c r="C1152" i="20"/>
  <c r="C1153" i="20"/>
  <c r="C1154" i="20"/>
  <c r="C1155" i="20"/>
  <c r="C1156" i="20"/>
  <c r="C1157" i="20"/>
  <c r="C1158" i="20"/>
  <c r="C1159" i="20"/>
  <c r="C1160" i="20"/>
  <c r="C1161" i="20"/>
  <c r="C1162" i="20"/>
  <c r="C1163" i="20"/>
  <c r="C1164" i="20"/>
  <c r="C1165" i="20"/>
  <c r="C1166" i="20"/>
  <c r="C1167" i="20"/>
  <c r="C1168" i="20"/>
  <c r="C1169" i="20"/>
  <c r="C1170" i="20"/>
  <c r="C1171" i="20"/>
  <c r="C1172" i="20"/>
  <c r="C1173" i="20"/>
  <c r="C1174" i="20"/>
  <c r="C1175" i="20"/>
  <c r="C1176" i="20"/>
  <c r="C1177" i="20"/>
  <c r="C1178" i="20"/>
  <c r="C1179" i="20"/>
  <c r="C1180" i="20"/>
  <c r="C1181" i="20"/>
  <c r="C1182" i="20"/>
  <c r="C1183" i="20"/>
  <c r="C1184" i="20"/>
  <c r="C1185" i="20"/>
  <c r="C1186" i="20"/>
  <c r="C1187" i="20"/>
  <c r="C1188" i="20"/>
  <c r="C1189" i="20"/>
  <c r="C1190" i="20"/>
  <c r="C1191" i="20"/>
  <c r="C1192" i="20"/>
  <c r="C1193" i="20"/>
  <c r="C1194" i="20"/>
  <c r="C1195" i="20"/>
  <c r="C1196" i="20"/>
  <c r="C1197" i="20"/>
  <c r="C1198" i="20"/>
  <c r="C1199" i="20"/>
  <c r="C1200" i="20"/>
  <c r="C1201" i="20"/>
  <c r="C1202" i="20"/>
  <c r="C1203" i="20"/>
  <c r="C1204" i="20"/>
  <c r="C1205" i="20"/>
  <c r="C1206" i="20"/>
  <c r="C1207" i="20"/>
  <c r="C1208" i="20"/>
  <c r="C1209" i="20"/>
  <c r="C1210" i="20"/>
  <c r="C1211" i="20"/>
  <c r="C1212" i="20"/>
  <c r="C1213" i="20"/>
  <c r="C1214" i="20"/>
  <c r="C1215" i="20"/>
  <c r="C1216" i="20"/>
  <c r="C1217" i="20"/>
  <c r="C1218" i="20"/>
  <c r="C1219" i="20"/>
  <c r="C1220" i="20"/>
  <c r="C1221" i="20"/>
  <c r="C1222" i="20"/>
  <c r="C1223" i="20"/>
  <c r="C1224" i="20"/>
  <c r="C1225" i="20"/>
  <c r="C1226" i="20"/>
  <c r="C1227" i="20"/>
  <c r="C1228" i="20"/>
  <c r="C1229" i="20"/>
  <c r="C1230" i="20"/>
  <c r="C1231" i="20"/>
  <c r="C1232" i="20"/>
  <c r="C1233" i="20"/>
  <c r="C1234" i="20"/>
  <c r="C1235" i="20"/>
  <c r="C1236" i="20"/>
  <c r="C1237" i="20"/>
  <c r="C1238" i="20"/>
  <c r="C1239" i="20"/>
  <c r="C1240" i="20"/>
  <c r="C1241" i="20"/>
  <c r="C1242" i="20"/>
  <c r="C1243" i="20"/>
  <c r="C1244" i="20"/>
  <c r="C1245" i="20"/>
  <c r="C1246" i="20"/>
  <c r="C1247" i="20"/>
  <c r="C1248" i="20"/>
  <c r="C1249" i="20"/>
  <c r="C1250" i="20"/>
  <c r="C1251" i="20"/>
  <c r="C1252" i="20"/>
  <c r="C1253" i="20"/>
  <c r="C1254" i="20"/>
  <c r="C1255" i="20"/>
  <c r="C1256" i="20"/>
  <c r="C1257" i="20"/>
  <c r="C1258" i="20"/>
  <c r="C1259" i="20"/>
  <c r="C1260" i="20"/>
  <c r="C1261" i="20"/>
  <c r="C1262" i="20"/>
  <c r="C1263" i="20"/>
  <c r="C1264" i="20"/>
  <c r="C1265" i="20"/>
  <c r="C1266" i="20"/>
  <c r="C1267" i="20"/>
  <c r="C1268" i="20"/>
  <c r="C1269" i="20"/>
  <c r="C1270" i="20"/>
  <c r="C1271" i="20"/>
  <c r="C1272" i="20"/>
  <c r="C1273" i="20"/>
  <c r="C1274" i="20"/>
  <c r="C1275" i="20"/>
  <c r="C1276" i="20"/>
  <c r="C1277" i="20"/>
  <c r="C1278" i="20"/>
  <c r="C1279" i="20"/>
  <c r="C1280" i="20"/>
  <c r="C1281" i="20"/>
  <c r="C1282" i="20"/>
  <c r="C1283" i="20"/>
  <c r="C1284" i="20"/>
  <c r="C1285" i="20"/>
  <c r="C1286" i="20"/>
  <c r="C1287" i="20"/>
  <c r="C1288" i="20"/>
  <c r="C1289" i="20"/>
  <c r="C1290" i="20"/>
  <c r="C1291" i="20"/>
  <c r="C1292" i="20"/>
  <c r="C1293" i="20"/>
  <c r="C1294" i="20"/>
  <c r="C1295" i="20"/>
  <c r="C1296" i="20"/>
  <c r="C1297" i="20"/>
  <c r="C1298" i="20"/>
  <c r="C1299" i="20"/>
  <c r="C1300" i="20"/>
  <c r="C1301" i="20"/>
  <c r="C1302" i="20"/>
  <c r="C1303" i="20"/>
  <c r="C1304" i="20"/>
  <c r="C1305" i="20"/>
  <c r="C1306" i="20"/>
  <c r="C1307" i="20"/>
  <c r="C1308" i="20"/>
  <c r="C1309" i="20"/>
  <c r="C1310" i="20"/>
  <c r="C1311" i="20"/>
  <c r="C1312" i="20"/>
  <c r="C1313" i="20"/>
  <c r="C1314" i="20"/>
  <c r="C1315" i="20"/>
  <c r="C1316" i="20"/>
  <c r="C1317" i="20"/>
  <c r="C1318" i="20"/>
  <c r="C1319" i="20"/>
  <c r="C1320" i="20"/>
  <c r="C1321" i="20"/>
  <c r="C1322" i="20"/>
  <c r="C1323" i="20"/>
  <c r="C1324" i="20"/>
  <c r="C1325" i="20"/>
  <c r="C1326" i="20"/>
  <c r="C1327" i="20"/>
  <c r="C1328" i="20"/>
  <c r="C1329" i="20"/>
  <c r="C1330" i="20"/>
  <c r="C1331" i="20"/>
  <c r="C1332" i="20"/>
  <c r="C1333" i="20"/>
  <c r="C1334" i="20"/>
  <c r="C1335" i="20"/>
  <c r="C1336" i="20"/>
  <c r="C1337" i="20"/>
  <c r="C1338" i="20"/>
  <c r="C1339" i="20"/>
  <c r="C1340" i="20"/>
  <c r="C1341" i="20"/>
  <c r="C1342" i="20"/>
  <c r="C1343" i="20"/>
  <c r="C1344" i="20"/>
  <c r="C1345" i="20"/>
  <c r="C1346" i="20"/>
  <c r="C1347" i="20"/>
  <c r="C1348" i="20"/>
  <c r="C1349" i="20"/>
  <c r="C1350" i="20"/>
  <c r="C1351" i="20"/>
  <c r="C1352" i="20"/>
  <c r="C1353" i="20"/>
  <c r="C1354" i="20"/>
  <c r="C1355" i="20"/>
  <c r="C1356" i="20"/>
  <c r="C1357" i="20"/>
  <c r="C1358" i="20"/>
  <c r="C1359" i="20"/>
  <c r="C1360" i="20"/>
  <c r="C1361" i="20"/>
  <c r="C1362" i="20"/>
  <c r="C1363" i="20"/>
  <c r="C1364" i="20"/>
  <c r="C1365" i="20"/>
  <c r="C1366" i="20"/>
  <c r="C1367" i="20"/>
  <c r="C1368" i="20"/>
  <c r="C1369" i="20"/>
  <c r="C1370" i="20"/>
  <c r="C1371" i="20"/>
  <c r="C1372" i="20"/>
  <c r="C1373" i="20"/>
  <c r="C1374" i="20"/>
  <c r="C1375" i="20"/>
  <c r="C1376" i="20"/>
  <c r="C1377" i="20"/>
  <c r="C1378" i="20"/>
  <c r="C1379" i="20"/>
  <c r="C1380" i="20"/>
  <c r="C1381" i="20"/>
  <c r="C1382" i="20"/>
  <c r="C1383" i="20"/>
  <c r="C1384" i="20"/>
  <c r="C1385" i="20"/>
  <c r="C1386" i="20"/>
  <c r="C1387" i="20"/>
  <c r="C1388" i="20"/>
  <c r="C1389" i="20"/>
  <c r="C1390" i="20"/>
  <c r="C1391" i="20"/>
  <c r="C1392" i="20"/>
  <c r="C1393" i="20"/>
  <c r="C1394" i="20"/>
  <c r="C1395" i="20"/>
  <c r="C1396" i="20"/>
  <c r="C1397" i="20"/>
  <c r="C1398" i="20"/>
  <c r="C1399" i="20"/>
  <c r="C1400" i="20"/>
  <c r="C1401" i="20"/>
  <c r="C1402" i="20"/>
  <c r="C1403" i="20"/>
  <c r="C1404" i="20"/>
  <c r="C1405" i="20"/>
  <c r="C1406" i="20"/>
  <c r="C1407" i="20"/>
  <c r="C1408" i="20"/>
  <c r="C1409" i="20"/>
  <c r="C1410" i="20"/>
  <c r="C1411" i="20"/>
  <c r="C1412" i="20"/>
  <c r="C1413" i="20"/>
  <c r="C1414" i="20"/>
  <c r="C1415" i="20"/>
  <c r="C1416" i="20"/>
  <c r="C1417" i="20"/>
  <c r="C1418" i="20"/>
  <c r="C1419" i="20"/>
  <c r="C1420" i="20"/>
  <c r="C1421" i="20"/>
  <c r="C1422" i="20"/>
  <c r="C1423" i="20"/>
  <c r="C1424" i="20"/>
  <c r="C1425" i="20"/>
  <c r="C1426" i="20"/>
  <c r="C1427" i="20"/>
  <c r="C1428" i="20"/>
  <c r="C1429" i="20"/>
  <c r="C1430" i="20"/>
  <c r="C1431" i="20"/>
  <c r="C1432" i="20"/>
  <c r="C1433" i="20"/>
  <c r="C1434" i="20"/>
  <c r="C1435" i="20"/>
  <c r="C1436" i="20"/>
  <c r="C1437" i="20"/>
  <c r="C1438" i="20"/>
  <c r="C1439" i="20"/>
  <c r="C1440" i="20"/>
  <c r="C1441" i="20"/>
  <c r="C1442" i="20"/>
  <c r="C1443" i="20"/>
  <c r="C1444" i="20"/>
  <c r="C1445" i="20"/>
  <c r="C1446" i="20"/>
  <c r="C1447" i="20"/>
  <c r="C1448" i="20"/>
  <c r="C1449" i="20"/>
  <c r="C1450" i="20"/>
  <c r="C1451" i="20"/>
  <c r="C1452" i="20"/>
  <c r="C1453" i="20"/>
  <c r="C1454" i="20"/>
  <c r="C1455" i="20"/>
  <c r="C1456" i="20"/>
  <c r="C1457" i="20"/>
  <c r="C1458" i="20"/>
  <c r="C1459" i="20"/>
  <c r="C1460" i="20"/>
  <c r="C1461" i="20"/>
  <c r="C1462" i="20"/>
  <c r="C1463" i="20"/>
  <c r="C1464" i="20"/>
  <c r="C1465" i="20"/>
  <c r="C1466" i="20"/>
  <c r="C1467" i="20"/>
  <c r="C1468" i="20"/>
  <c r="C1469" i="20"/>
  <c r="C1470" i="20"/>
  <c r="C1471" i="20"/>
  <c r="C1472" i="20"/>
  <c r="C1473" i="20"/>
  <c r="C1474" i="20"/>
  <c r="C1475" i="20"/>
  <c r="C1476" i="20"/>
  <c r="C1477" i="20"/>
  <c r="C1478" i="20"/>
  <c r="C1479" i="20"/>
  <c r="C1480" i="20"/>
  <c r="C1481" i="20"/>
  <c r="C1482" i="20"/>
  <c r="C1483" i="20"/>
  <c r="C1484" i="20"/>
  <c r="C1485" i="20"/>
  <c r="C1486" i="20"/>
  <c r="C1487" i="20"/>
  <c r="C1488" i="20"/>
  <c r="C1489" i="20"/>
  <c r="C1490" i="20"/>
  <c r="C1491" i="20"/>
  <c r="C1492" i="20"/>
  <c r="C1493" i="20"/>
  <c r="C1494" i="20"/>
  <c r="C1495" i="20"/>
  <c r="C1496" i="20"/>
  <c r="C1497" i="20"/>
  <c r="C1498" i="20"/>
  <c r="C1499" i="20"/>
  <c r="C1500" i="20"/>
  <c r="C1501" i="20"/>
  <c r="C1502" i="20"/>
  <c r="C1503" i="20"/>
  <c r="C1504" i="20"/>
  <c r="C1505" i="20"/>
  <c r="C1506" i="20"/>
  <c r="C1507" i="20"/>
  <c r="C1508" i="20"/>
  <c r="C1509" i="20"/>
  <c r="C1510" i="20"/>
  <c r="C1511" i="20"/>
  <c r="C1512" i="20"/>
  <c r="C1513" i="20"/>
  <c r="C1514" i="20"/>
  <c r="C1515" i="20"/>
  <c r="C1516" i="20"/>
  <c r="C1517" i="20"/>
  <c r="C1518" i="20"/>
  <c r="C1519" i="20"/>
  <c r="C1520" i="20"/>
  <c r="C1521" i="20"/>
  <c r="C1522" i="20"/>
  <c r="C1523" i="20"/>
  <c r="C1524" i="20"/>
  <c r="C1525" i="20"/>
  <c r="C1526" i="20"/>
  <c r="C1527" i="20"/>
  <c r="C1528" i="20"/>
  <c r="C1529" i="20"/>
  <c r="C1530" i="20"/>
  <c r="C1531" i="20"/>
  <c r="C1532" i="20"/>
  <c r="C1533" i="20"/>
  <c r="C1534" i="20"/>
  <c r="C1535" i="20"/>
  <c r="C1536" i="20"/>
  <c r="C1537" i="20"/>
  <c r="C1538" i="20"/>
  <c r="C1539" i="20"/>
  <c r="C1540" i="20"/>
  <c r="C1541" i="20"/>
  <c r="C1542" i="20"/>
  <c r="C1543" i="20"/>
  <c r="C1544" i="20"/>
  <c r="C1545" i="20"/>
  <c r="C1546" i="20"/>
  <c r="C1547" i="20"/>
  <c r="C1548" i="20"/>
  <c r="C1549" i="20"/>
  <c r="C1550" i="20"/>
  <c r="C1551" i="20"/>
  <c r="C1552" i="20"/>
  <c r="C1553" i="20"/>
  <c r="C1554" i="20"/>
  <c r="C1555" i="20"/>
  <c r="C1556" i="20"/>
  <c r="C1557" i="20"/>
  <c r="C1558" i="20"/>
  <c r="C1559" i="20"/>
  <c r="C1560" i="20"/>
  <c r="C1561" i="20"/>
  <c r="C1562" i="20"/>
  <c r="C1563" i="20"/>
  <c r="C1564" i="20"/>
  <c r="C1565" i="20"/>
  <c r="C1566" i="20"/>
  <c r="C1567" i="20"/>
  <c r="C1568" i="20"/>
  <c r="C1569" i="20"/>
  <c r="C1570" i="20"/>
  <c r="C1571" i="20"/>
  <c r="C1572" i="20"/>
  <c r="C1573" i="20"/>
  <c r="C1574" i="20"/>
  <c r="C1575" i="20"/>
  <c r="C1576" i="20"/>
  <c r="C1577" i="20"/>
  <c r="C1578" i="20"/>
  <c r="C1579" i="20"/>
  <c r="C1580" i="20"/>
  <c r="C1581" i="20"/>
  <c r="C1582" i="20"/>
  <c r="C1583" i="20"/>
  <c r="C1584" i="20"/>
  <c r="C1585" i="20"/>
  <c r="C1586" i="20"/>
  <c r="C1587" i="20"/>
  <c r="C1588" i="20"/>
  <c r="C1589" i="20"/>
  <c r="C1590" i="20"/>
  <c r="C1591" i="20"/>
  <c r="C1592" i="20"/>
  <c r="C1593" i="20"/>
  <c r="C1594" i="20"/>
  <c r="C1595" i="20"/>
  <c r="C1596" i="20"/>
  <c r="C1597" i="20"/>
  <c r="C1598" i="20"/>
  <c r="C1599" i="20"/>
  <c r="C1600" i="20"/>
  <c r="C1601" i="20"/>
  <c r="C1602" i="20"/>
  <c r="C1603" i="20"/>
  <c r="C1604" i="20"/>
  <c r="C1605" i="20"/>
  <c r="C1606" i="20"/>
  <c r="C1607" i="20"/>
  <c r="C1608" i="20"/>
  <c r="C1609" i="20"/>
  <c r="C1610" i="20"/>
  <c r="C1611" i="20"/>
  <c r="C1612" i="20"/>
  <c r="C1613" i="20"/>
  <c r="C1614" i="20"/>
  <c r="C1615" i="20"/>
  <c r="C1616" i="20"/>
  <c r="C1617" i="20"/>
  <c r="C1618" i="20"/>
  <c r="C1619" i="20"/>
  <c r="C1620" i="20"/>
  <c r="C1621" i="20"/>
  <c r="C1622" i="20"/>
  <c r="C1623" i="20"/>
  <c r="C1624" i="20"/>
  <c r="C1625" i="20"/>
  <c r="C1626" i="20"/>
  <c r="C1627" i="20"/>
  <c r="C1628" i="20"/>
  <c r="C1629" i="20"/>
  <c r="C1630" i="20"/>
  <c r="C1631" i="20"/>
  <c r="C1632" i="20"/>
  <c r="C1633" i="20"/>
  <c r="C1634" i="20"/>
  <c r="C1635" i="20"/>
  <c r="C1636" i="20"/>
  <c r="C1637" i="20"/>
  <c r="C1638" i="20"/>
  <c r="C1639" i="20"/>
  <c r="C1640" i="20"/>
  <c r="C1641" i="20"/>
  <c r="C1642" i="20"/>
  <c r="C1643" i="20"/>
  <c r="C1644" i="20"/>
  <c r="C1645" i="20"/>
  <c r="C1646" i="20"/>
  <c r="C1647" i="20"/>
  <c r="C1648" i="20"/>
  <c r="C1649" i="20"/>
  <c r="C1650" i="20"/>
  <c r="C1651" i="20"/>
  <c r="C1652" i="20"/>
  <c r="C1653" i="20"/>
  <c r="C1654" i="20"/>
  <c r="C1655" i="20"/>
  <c r="C1656" i="20"/>
  <c r="C1657" i="20"/>
  <c r="C1658" i="20"/>
  <c r="C1659" i="20"/>
  <c r="C1660" i="20"/>
  <c r="C1661" i="20"/>
  <c r="C1662" i="20"/>
  <c r="C1663" i="20"/>
  <c r="C1664" i="20"/>
  <c r="C1665" i="20"/>
  <c r="C1666" i="20"/>
  <c r="C1667" i="20"/>
  <c r="C1668" i="20"/>
  <c r="C1669" i="20"/>
  <c r="C1670" i="20"/>
  <c r="C1671" i="20"/>
  <c r="C1672" i="20"/>
  <c r="C1673" i="20"/>
  <c r="C1674" i="20"/>
  <c r="C1675" i="20"/>
  <c r="C1676" i="20"/>
  <c r="C1677" i="20"/>
  <c r="C1678" i="20"/>
  <c r="C1679" i="20"/>
  <c r="C1680" i="20"/>
  <c r="C1681" i="20"/>
  <c r="C1682" i="20"/>
  <c r="C1683" i="20"/>
  <c r="C1684" i="20"/>
  <c r="C1685" i="20"/>
  <c r="C1686" i="20"/>
  <c r="C1687" i="20"/>
  <c r="C1688" i="20"/>
  <c r="C1689" i="20"/>
  <c r="C1690" i="20"/>
  <c r="C1691" i="20"/>
  <c r="C1692" i="20"/>
  <c r="C1693" i="20"/>
  <c r="C1694" i="20"/>
  <c r="C1695" i="20"/>
  <c r="C1696" i="20"/>
  <c r="C1697" i="20"/>
  <c r="C1698" i="20"/>
  <c r="C1699" i="20"/>
  <c r="C1700" i="20"/>
  <c r="C1701" i="20"/>
  <c r="C1702" i="20"/>
  <c r="C1703" i="20"/>
  <c r="C1704" i="20"/>
  <c r="C1705" i="20"/>
  <c r="C1706" i="20"/>
  <c r="C1707" i="20"/>
  <c r="C1708" i="20"/>
  <c r="C1709" i="20"/>
  <c r="C1710" i="20"/>
  <c r="C1711" i="20"/>
  <c r="C1712" i="20"/>
  <c r="C1713" i="20"/>
  <c r="C1714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494" i="20"/>
  <c r="B495" i="20"/>
  <c r="B496" i="20"/>
  <c r="B497" i="20"/>
  <c r="B498" i="20"/>
  <c r="B499" i="20"/>
  <c r="B500" i="20"/>
  <c r="B501" i="20"/>
  <c r="B502" i="20"/>
  <c r="B503" i="20"/>
  <c r="B504" i="20"/>
  <c r="B505" i="20"/>
  <c r="B506" i="20"/>
  <c r="B507" i="20"/>
  <c r="B508" i="20"/>
  <c r="B509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598" i="20"/>
  <c r="B599" i="20"/>
  <c r="B600" i="20"/>
  <c r="B601" i="20"/>
  <c r="B602" i="20"/>
  <c r="B603" i="20"/>
  <c r="B604" i="20"/>
  <c r="B605" i="20"/>
  <c r="B606" i="20"/>
  <c r="B607" i="20"/>
  <c r="B608" i="20"/>
  <c r="B609" i="20"/>
  <c r="B610" i="20"/>
  <c r="B611" i="20"/>
  <c r="B612" i="20"/>
  <c r="B613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631" i="20"/>
  <c r="B632" i="20"/>
  <c r="B633" i="20"/>
  <c r="B634" i="20"/>
  <c r="B635" i="20"/>
  <c r="B636" i="20"/>
  <c r="B637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50" i="20"/>
  <c r="B651" i="20"/>
  <c r="B652" i="20"/>
  <c r="B653" i="20"/>
  <c r="B654" i="20"/>
  <c r="B655" i="20"/>
  <c r="B656" i="20"/>
  <c r="B657" i="20"/>
  <c r="B658" i="20"/>
  <c r="B659" i="20"/>
  <c r="B660" i="20"/>
  <c r="B661" i="20"/>
  <c r="B662" i="20"/>
  <c r="B663" i="20"/>
  <c r="B664" i="20"/>
  <c r="B665" i="20"/>
  <c r="B666" i="20"/>
  <c r="B667" i="20"/>
  <c r="B668" i="20"/>
  <c r="B669" i="20"/>
  <c r="B670" i="20"/>
  <c r="B671" i="20"/>
  <c r="B672" i="20"/>
  <c r="B673" i="20"/>
  <c r="B674" i="20"/>
  <c r="B675" i="20"/>
  <c r="B676" i="20"/>
  <c r="B677" i="20"/>
  <c r="B678" i="20"/>
  <c r="B679" i="20"/>
  <c r="B680" i="20"/>
  <c r="B681" i="20"/>
  <c r="B682" i="20"/>
  <c r="B683" i="20"/>
  <c r="B684" i="20"/>
  <c r="B685" i="20"/>
  <c r="B686" i="20"/>
  <c r="B687" i="20"/>
  <c r="B688" i="20"/>
  <c r="B689" i="20"/>
  <c r="B690" i="20"/>
  <c r="B691" i="20"/>
  <c r="B692" i="20"/>
  <c r="B693" i="20"/>
  <c r="B694" i="20"/>
  <c r="B695" i="20"/>
  <c r="B696" i="20"/>
  <c r="B697" i="20"/>
  <c r="B698" i="20"/>
  <c r="B699" i="20"/>
  <c r="B700" i="20"/>
  <c r="B701" i="20"/>
  <c r="B702" i="20"/>
  <c r="B703" i="20"/>
  <c r="B704" i="20"/>
  <c r="B705" i="20"/>
  <c r="B706" i="20"/>
  <c r="B707" i="20"/>
  <c r="B708" i="20"/>
  <c r="B709" i="20"/>
  <c r="B710" i="20"/>
  <c r="B711" i="20"/>
  <c r="B712" i="20"/>
  <c r="B713" i="20"/>
  <c r="B714" i="20"/>
  <c r="B715" i="20"/>
  <c r="B716" i="20"/>
  <c r="B717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733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54" i="20"/>
  <c r="B755" i="20"/>
  <c r="B756" i="20"/>
  <c r="B757" i="20"/>
  <c r="B758" i="20"/>
  <c r="B759" i="20"/>
  <c r="B760" i="20"/>
  <c r="B761" i="20"/>
  <c r="B762" i="20"/>
  <c r="B763" i="20"/>
  <c r="B764" i="20"/>
  <c r="B765" i="20"/>
  <c r="B766" i="20"/>
  <c r="B767" i="20"/>
  <c r="B768" i="20"/>
  <c r="B769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799" i="20"/>
  <c r="B800" i="20"/>
  <c r="B801" i="20"/>
  <c r="B802" i="20"/>
  <c r="B803" i="20"/>
  <c r="B804" i="20"/>
  <c r="B805" i="20"/>
  <c r="B806" i="20"/>
  <c r="B807" i="20"/>
  <c r="B808" i="20"/>
  <c r="B809" i="20"/>
  <c r="B810" i="20"/>
  <c r="B811" i="20"/>
  <c r="B812" i="20"/>
  <c r="B813" i="20"/>
  <c r="B814" i="20"/>
  <c r="B815" i="20"/>
  <c r="B816" i="20"/>
  <c r="B817" i="20"/>
  <c r="B818" i="20"/>
  <c r="B819" i="20"/>
  <c r="B820" i="20"/>
  <c r="B821" i="20"/>
  <c r="B822" i="20"/>
  <c r="B823" i="20"/>
  <c r="B824" i="20"/>
  <c r="B825" i="20"/>
  <c r="B826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58" i="20"/>
  <c r="B859" i="20"/>
  <c r="B860" i="20"/>
  <c r="B861" i="20"/>
  <c r="B862" i="20"/>
  <c r="B863" i="20"/>
  <c r="B864" i="20"/>
  <c r="B865" i="20"/>
  <c r="B866" i="20"/>
  <c r="B867" i="20"/>
  <c r="B868" i="20"/>
  <c r="B869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1040" i="20"/>
  <c r="B1041" i="20"/>
  <c r="B1042" i="20"/>
  <c r="B1043" i="20"/>
  <c r="B1044" i="20"/>
  <c r="B1045" i="20"/>
  <c r="B1046" i="20"/>
  <c r="B1047" i="20"/>
  <c r="B1048" i="20"/>
  <c r="B1049" i="20"/>
  <c r="B1050" i="20"/>
  <c r="B1051" i="20"/>
  <c r="B1052" i="20"/>
  <c r="B1053" i="20"/>
  <c r="B1054" i="20"/>
  <c r="B1055" i="20"/>
  <c r="B1056" i="20"/>
  <c r="B1057" i="20"/>
  <c r="B1058" i="20"/>
  <c r="B1059" i="20"/>
  <c r="B1060" i="20"/>
  <c r="B1061" i="20"/>
  <c r="B1062" i="20"/>
  <c r="B1063" i="20"/>
  <c r="B1064" i="20"/>
  <c r="B1065" i="20"/>
  <c r="B1066" i="20"/>
  <c r="B1067" i="20"/>
  <c r="B1068" i="20"/>
  <c r="B1069" i="20"/>
  <c r="B1070" i="20"/>
  <c r="B1071" i="20"/>
  <c r="B1072" i="20"/>
  <c r="B1073" i="20"/>
  <c r="B1074" i="20"/>
  <c r="B1075" i="20"/>
  <c r="B1076" i="20"/>
  <c r="B1077" i="20"/>
  <c r="B1078" i="20"/>
  <c r="B1079" i="20"/>
  <c r="B1080" i="20"/>
  <c r="B1081" i="20"/>
  <c r="B1082" i="20"/>
  <c r="B1083" i="20"/>
  <c r="B1084" i="20"/>
  <c r="B1085" i="20"/>
  <c r="B1086" i="20"/>
  <c r="B1087" i="20"/>
  <c r="B1088" i="20"/>
  <c r="B1089" i="20"/>
  <c r="B1090" i="20"/>
  <c r="B1091" i="20"/>
  <c r="B1092" i="20"/>
  <c r="B1093" i="20"/>
  <c r="B1094" i="20"/>
  <c r="B1095" i="20"/>
  <c r="B1096" i="20"/>
  <c r="B1097" i="20"/>
  <c r="B1098" i="20"/>
  <c r="B1099" i="20"/>
  <c r="B1100" i="20"/>
  <c r="B1101" i="20"/>
  <c r="B1102" i="20"/>
  <c r="B1103" i="20"/>
  <c r="B1104" i="20"/>
  <c r="B1105" i="20"/>
  <c r="B1106" i="20"/>
  <c r="B1107" i="20"/>
  <c r="B1108" i="20"/>
  <c r="B1109" i="20"/>
  <c r="B1110" i="20"/>
  <c r="B1111" i="20"/>
  <c r="B1112" i="20"/>
  <c r="B1113" i="20"/>
  <c r="B1114" i="20"/>
  <c r="B1115" i="20"/>
  <c r="B1116" i="20"/>
  <c r="B1117" i="20"/>
  <c r="B1118" i="20"/>
  <c r="B1119" i="20"/>
  <c r="B1120" i="20"/>
  <c r="B1121" i="20"/>
  <c r="B1122" i="20"/>
  <c r="B1123" i="20"/>
  <c r="B1124" i="20"/>
  <c r="B1125" i="20"/>
  <c r="B1126" i="20"/>
  <c r="B1127" i="20"/>
  <c r="B1128" i="20"/>
  <c r="B1129" i="20"/>
  <c r="B1130" i="20"/>
  <c r="B1131" i="20"/>
  <c r="B1132" i="20"/>
  <c r="B1133" i="20"/>
  <c r="B1134" i="20"/>
  <c r="B1135" i="20"/>
  <c r="B1136" i="20"/>
  <c r="B1137" i="20"/>
  <c r="B1138" i="20"/>
  <c r="B1139" i="20"/>
  <c r="B1140" i="20"/>
  <c r="B1141" i="20"/>
  <c r="B1142" i="20"/>
  <c r="B1143" i="20"/>
  <c r="B1144" i="20"/>
  <c r="B1145" i="20"/>
  <c r="B1146" i="20"/>
  <c r="B1147" i="20"/>
  <c r="B1148" i="20"/>
  <c r="B1149" i="20"/>
  <c r="B1150" i="20"/>
  <c r="B1151" i="20"/>
  <c r="B1152" i="20"/>
  <c r="B1153" i="20"/>
  <c r="B1154" i="20"/>
  <c r="B1155" i="20"/>
  <c r="B1156" i="20"/>
  <c r="B1157" i="20"/>
  <c r="B1158" i="20"/>
  <c r="B1159" i="20"/>
  <c r="B1160" i="20"/>
  <c r="B1161" i="20"/>
  <c r="B1162" i="20"/>
  <c r="B1163" i="20"/>
  <c r="B1164" i="20"/>
  <c r="B1165" i="20"/>
  <c r="B1166" i="20"/>
  <c r="B1167" i="20"/>
  <c r="B1168" i="20"/>
  <c r="B1169" i="20"/>
  <c r="B1170" i="20"/>
  <c r="B1171" i="20"/>
  <c r="B1172" i="20"/>
  <c r="B1173" i="20"/>
  <c r="B1174" i="20"/>
  <c r="B1175" i="20"/>
  <c r="B1176" i="20"/>
  <c r="B1177" i="20"/>
  <c r="B1178" i="20"/>
  <c r="B1179" i="20"/>
  <c r="B1180" i="20"/>
  <c r="B1181" i="20"/>
  <c r="B1182" i="20"/>
  <c r="B1183" i="20"/>
  <c r="B1184" i="20"/>
  <c r="B1185" i="20"/>
  <c r="B1186" i="20"/>
  <c r="B1187" i="20"/>
  <c r="B1188" i="20"/>
  <c r="B1189" i="20"/>
  <c r="B1190" i="20"/>
  <c r="B1191" i="20"/>
  <c r="B1192" i="20"/>
  <c r="B1193" i="20"/>
  <c r="B1194" i="20"/>
  <c r="B1195" i="20"/>
  <c r="B1196" i="20"/>
  <c r="B1197" i="20"/>
  <c r="B1198" i="20"/>
  <c r="B1199" i="20"/>
  <c r="B1200" i="20"/>
  <c r="B1201" i="20"/>
  <c r="B1202" i="20"/>
  <c r="B1203" i="20"/>
  <c r="B1204" i="20"/>
  <c r="B1205" i="20"/>
  <c r="B1206" i="20"/>
  <c r="B1207" i="20"/>
  <c r="B1208" i="20"/>
  <c r="B1209" i="20"/>
  <c r="B1210" i="20"/>
  <c r="B1211" i="20"/>
  <c r="B1212" i="20"/>
  <c r="B1213" i="20"/>
  <c r="B1214" i="20"/>
  <c r="B1215" i="20"/>
  <c r="B1216" i="20"/>
  <c r="B1217" i="20"/>
  <c r="B1218" i="20"/>
  <c r="B1219" i="20"/>
  <c r="B1220" i="20"/>
  <c r="B1221" i="20"/>
  <c r="B1222" i="20"/>
  <c r="B1223" i="20"/>
  <c r="B1224" i="20"/>
  <c r="B1225" i="20"/>
  <c r="B1226" i="20"/>
  <c r="B1227" i="20"/>
  <c r="B1228" i="20"/>
  <c r="B1229" i="20"/>
  <c r="B1230" i="20"/>
  <c r="B1231" i="20"/>
  <c r="B1232" i="20"/>
  <c r="B1233" i="20"/>
  <c r="B1234" i="20"/>
  <c r="B1235" i="20"/>
  <c r="B1236" i="20"/>
  <c r="B1237" i="20"/>
  <c r="B1238" i="20"/>
  <c r="B1239" i="20"/>
  <c r="B1240" i="20"/>
  <c r="B1241" i="20"/>
  <c r="B1242" i="20"/>
  <c r="B1243" i="20"/>
  <c r="B1244" i="20"/>
  <c r="B1245" i="20"/>
  <c r="B1246" i="20"/>
  <c r="B1247" i="20"/>
  <c r="B1248" i="20"/>
  <c r="B1249" i="20"/>
  <c r="B1250" i="20"/>
  <c r="B1251" i="20"/>
  <c r="B1252" i="20"/>
  <c r="B1253" i="20"/>
  <c r="B1254" i="20"/>
  <c r="B1255" i="20"/>
  <c r="B1256" i="20"/>
  <c r="B1257" i="20"/>
  <c r="B1258" i="20"/>
  <c r="B1259" i="20"/>
  <c r="B1260" i="20"/>
  <c r="B1261" i="20"/>
  <c r="B1262" i="20"/>
  <c r="B1263" i="20"/>
  <c r="B1264" i="20"/>
  <c r="B1265" i="20"/>
  <c r="B1266" i="20"/>
  <c r="B1267" i="20"/>
  <c r="B1268" i="20"/>
  <c r="B1269" i="20"/>
  <c r="B1270" i="20"/>
  <c r="B1271" i="20"/>
  <c r="B1272" i="20"/>
  <c r="B1273" i="20"/>
  <c r="B1274" i="20"/>
  <c r="B1275" i="20"/>
  <c r="B1276" i="20"/>
  <c r="B1277" i="20"/>
  <c r="B1278" i="20"/>
  <c r="B1279" i="20"/>
  <c r="B1280" i="20"/>
  <c r="B1281" i="20"/>
  <c r="B1282" i="20"/>
  <c r="B1283" i="20"/>
  <c r="B1284" i="20"/>
  <c r="B1285" i="20"/>
  <c r="B1286" i="20"/>
  <c r="B1287" i="20"/>
  <c r="B1288" i="20"/>
  <c r="B1289" i="20"/>
  <c r="B1290" i="20"/>
  <c r="B1291" i="20"/>
  <c r="B1292" i="20"/>
  <c r="B1293" i="20"/>
  <c r="B1294" i="20"/>
  <c r="B1295" i="20"/>
  <c r="B1296" i="20"/>
  <c r="B1297" i="20"/>
  <c r="B1298" i="20"/>
  <c r="B1299" i="20"/>
  <c r="B1300" i="20"/>
  <c r="B1301" i="20"/>
  <c r="B1302" i="20"/>
  <c r="B1303" i="20"/>
  <c r="B1304" i="20"/>
  <c r="B1305" i="20"/>
  <c r="B1306" i="20"/>
  <c r="B1307" i="20"/>
  <c r="B1308" i="20"/>
  <c r="B1309" i="20"/>
  <c r="B1310" i="20"/>
  <c r="B1311" i="20"/>
  <c r="B1312" i="20"/>
  <c r="B1313" i="20"/>
  <c r="B1314" i="20"/>
  <c r="B1315" i="20"/>
  <c r="B1316" i="20"/>
  <c r="B1317" i="20"/>
  <c r="B1318" i="20"/>
  <c r="B1319" i="20"/>
  <c r="B1320" i="20"/>
  <c r="B1321" i="20"/>
  <c r="B1322" i="20"/>
  <c r="B1323" i="20"/>
  <c r="B1324" i="20"/>
  <c r="B1325" i="20"/>
  <c r="B1326" i="20"/>
  <c r="B1327" i="20"/>
  <c r="B1328" i="20"/>
  <c r="B1329" i="20"/>
  <c r="B1330" i="20"/>
  <c r="B1331" i="20"/>
  <c r="B1332" i="20"/>
  <c r="B1333" i="20"/>
  <c r="B1334" i="20"/>
  <c r="B1335" i="20"/>
  <c r="B1336" i="20"/>
  <c r="B1337" i="20"/>
  <c r="B1338" i="20"/>
  <c r="B1339" i="20"/>
  <c r="B1340" i="20"/>
  <c r="B1341" i="20"/>
  <c r="B1342" i="20"/>
  <c r="B1343" i="20"/>
  <c r="B1344" i="20"/>
  <c r="B1345" i="20"/>
  <c r="B1346" i="20"/>
  <c r="B1347" i="20"/>
  <c r="B1348" i="20"/>
  <c r="B1349" i="20"/>
  <c r="B1350" i="20"/>
  <c r="B1351" i="20"/>
  <c r="B1352" i="20"/>
  <c r="B1353" i="20"/>
  <c r="B1354" i="20"/>
  <c r="B1355" i="20"/>
  <c r="B1356" i="20"/>
  <c r="B1357" i="20"/>
  <c r="B1358" i="20"/>
  <c r="B1359" i="20"/>
  <c r="B1360" i="20"/>
  <c r="B1361" i="20"/>
  <c r="B1362" i="20"/>
  <c r="B1363" i="20"/>
  <c r="B1364" i="20"/>
  <c r="B1365" i="20"/>
  <c r="B1366" i="20"/>
  <c r="B1367" i="20"/>
  <c r="B1368" i="20"/>
  <c r="B1369" i="20"/>
  <c r="B1370" i="20"/>
  <c r="B1371" i="20"/>
  <c r="B1372" i="20"/>
  <c r="B1373" i="20"/>
  <c r="B1374" i="20"/>
  <c r="B1375" i="20"/>
  <c r="B1376" i="20"/>
  <c r="B1377" i="20"/>
  <c r="B1378" i="20"/>
  <c r="B1379" i="20"/>
  <c r="B1380" i="20"/>
  <c r="B1381" i="20"/>
  <c r="B1382" i="20"/>
  <c r="B1383" i="20"/>
  <c r="B1384" i="20"/>
  <c r="B1385" i="20"/>
  <c r="B1386" i="20"/>
  <c r="B1387" i="20"/>
  <c r="B1388" i="20"/>
  <c r="B1389" i="20"/>
  <c r="B1390" i="20"/>
  <c r="B1391" i="20"/>
  <c r="B1392" i="20"/>
  <c r="B1393" i="20"/>
  <c r="B1394" i="20"/>
  <c r="B1395" i="20"/>
  <c r="B1396" i="20"/>
  <c r="B1397" i="20"/>
  <c r="B1398" i="20"/>
  <c r="B1399" i="20"/>
  <c r="B1400" i="20"/>
  <c r="B1401" i="20"/>
  <c r="B1402" i="20"/>
  <c r="B1403" i="20"/>
  <c r="B1404" i="20"/>
  <c r="B1405" i="20"/>
  <c r="B1406" i="20"/>
  <c r="B1407" i="20"/>
  <c r="B1408" i="20"/>
  <c r="B1409" i="20"/>
  <c r="B1410" i="20"/>
  <c r="B1411" i="20"/>
  <c r="B1412" i="20"/>
  <c r="B1413" i="20"/>
  <c r="B1414" i="20"/>
  <c r="B1415" i="20"/>
  <c r="B1416" i="20"/>
  <c r="B1417" i="20"/>
  <c r="B1418" i="20"/>
  <c r="B1419" i="20"/>
  <c r="B1420" i="20"/>
  <c r="B1421" i="20"/>
  <c r="B1422" i="20"/>
  <c r="B1423" i="20"/>
  <c r="B1424" i="20"/>
  <c r="B1425" i="20"/>
  <c r="B1426" i="20"/>
  <c r="B1427" i="20"/>
  <c r="B1428" i="20"/>
  <c r="B1429" i="20"/>
  <c r="B1430" i="20"/>
  <c r="B1431" i="20"/>
  <c r="B1432" i="20"/>
  <c r="B1433" i="20"/>
  <c r="B1434" i="20"/>
  <c r="B1435" i="20"/>
  <c r="B1436" i="20"/>
  <c r="B1437" i="20"/>
  <c r="B1438" i="20"/>
  <c r="B1439" i="20"/>
  <c r="B1440" i="20"/>
  <c r="B1441" i="20"/>
  <c r="B1442" i="20"/>
  <c r="B1443" i="20"/>
  <c r="B1444" i="20"/>
  <c r="B1445" i="20"/>
  <c r="B1446" i="20"/>
  <c r="B1447" i="20"/>
  <c r="B1448" i="20"/>
  <c r="B1449" i="20"/>
  <c r="B1450" i="20"/>
  <c r="B1451" i="20"/>
  <c r="B1452" i="20"/>
  <c r="B1453" i="20"/>
  <c r="B1454" i="20"/>
  <c r="B1455" i="20"/>
  <c r="B1456" i="20"/>
  <c r="B1457" i="20"/>
  <c r="B1458" i="20"/>
  <c r="B1459" i="20"/>
  <c r="B1460" i="20"/>
  <c r="B1461" i="20"/>
  <c r="B1462" i="20"/>
  <c r="B1463" i="20"/>
  <c r="B1464" i="20"/>
  <c r="B1465" i="20"/>
  <c r="B1466" i="20"/>
  <c r="B1467" i="20"/>
  <c r="B1468" i="20"/>
  <c r="B1469" i="20"/>
  <c r="B1470" i="20"/>
  <c r="B1471" i="20"/>
  <c r="B1472" i="20"/>
  <c r="B1473" i="20"/>
  <c r="B1474" i="20"/>
  <c r="B1475" i="20"/>
  <c r="B1476" i="20"/>
  <c r="B1477" i="20"/>
  <c r="B1478" i="20"/>
  <c r="B1479" i="20"/>
  <c r="B1480" i="20"/>
  <c r="B1481" i="20"/>
  <c r="B1482" i="20"/>
  <c r="B1483" i="20"/>
  <c r="B1484" i="20"/>
  <c r="B1485" i="20"/>
  <c r="B1486" i="20"/>
  <c r="B1487" i="20"/>
  <c r="B1488" i="20"/>
  <c r="B1489" i="20"/>
  <c r="B1490" i="20"/>
  <c r="B1491" i="20"/>
  <c r="B1492" i="20"/>
  <c r="B1493" i="20"/>
  <c r="B1494" i="20"/>
  <c r="B1495" i="20"/>
  <c r="B1496" i="20"/>
  <c r="B1497" i="20"/>
  <c r="B1498" i="20"/>
  <c r="B1499" i="20"/>
  <c r="B1500" i="20"/>
  <c r="B1501" i="20"/>
  <c r="B1502" i="20"/>
  <c r="B1503" i="20"/>
  <c r="B1504" i="20"/>
  <c r="B1505" i="20"/>
  <c r="B1506" i="20"/>
  <c r="B1507" i="20"/>
  <c r="B1508" i="20"/>
  <c r="B1509" i="20"/>
  <c r="B1510" i="20"/>
  <c r="B1511" i="20"/>
  <c r="B1512" i="20"/>
  <c r="B1513" i="20"/>
  <c r="B1514" i="20"/>
  <c r="B1515" i="20"/>
  <c r="B1516" i="20"/>
  <c r="B1517" i="20"/>
  <c r="B1518" i="20"/>
  <c r="B1519" i="20"/>
  <c r="B1520" i="20"/>
  <c r="B1521" i="20"/>
  <c r="B1522" i="20"/>
  <c r="B1523" i="20"/>
  <c r="B1524" i="20"/>
  <c r="B1525" i="20"/>
  <c r="B1526" i="20"/>
  <c r="B1527" i="20"/>
  <c r="B1528" i="20"/>
  <c r="B1529" i="20"/>
  <c r="B1530" i="20"/>
  <c r="B1531" i="20"/>
  <c r="B1532" i="20"/>
  <c r="B1533" i="20"/>
  <c r="B1534" i="20"/>
  <c r="B1535" i="20"/>
  <c r="B1536" i="20"/>
  <c r="B1537" i="20"/>
  <c r="B1538" i="20"/>
  <c r="B1539" i="20"/>
  <c r="B1540" i="20"/>
  <c r="B1541" i="20"/>
  <c r="B1542" i="20"/>
  <c r="B1543" i="20"/>
  <c r="B1544" i="20"/>
  <c r="B1545" i="20"/>
  <c r="B1546" i="20"/>
  <c r="B1547" i="20"/>
  <c r="B1548" i="20"/>
  <c r="B1549" i="20"/>
  <c r="B1550" i="20"/>
  <c r="B1551" i="20"/>
  <c r="B1552" i="20"/>
  <c r="B1553" i="20"/>
  <c r="B1554" i="20"/>
  <c r="B1555" i="20"/>
  <c r="B1556" i="20"/>
  <c r="B1557" i="20"/>
  <c r="B1558" i="20"/>
  <c r="B1559" i="20"/>
  <c r="B1560" i="20"/>
  <c r="B1561" i="20"/>
  <c r="B1562" i="20"/>
  <c r="B1563" i="20"/>
  <c r="B1564" i="20"/>
  <c r="B1565" i="20"/>
  <c r="B1566" i="20"/>
  <c r="B1567" i="20"/>
  <c r="B1568" i="20"/>
  <c r="B1569" i="20"/>
  <c r="B1570" i="20"/>
  <c r="B1571" i="20"/>
  <c r="B1572" i="20"/>
  <c r="B1573" i="20"/>
  <c r="B1574" i="20"/>
  <c r="B1575" i="20"/>
  <c r="B1576" i="20"/>
  <c r="B1577" i="20"/>
  <c r="B1578" i="20"/>
  <c r="B1579" i="20"/>
  <c r="B1580" i="20"/>
  <c r="B1581" i="20"/>
  <c r="B1582" i="20"/>
  <c r="B1583" i="20"/>
  <c r="B1584" i="20"/>
  <c r="B1585" i="20"/>
  <c r="B1586" i="20"/>
  <c r="B1587" i="20"/>
  <c r="B1588" i="20"/>
  <c r="B1589" i="20"/>
  <c r="B1590" i="20"/>
  <c r="B1591" i="20"/>
  <c r="B1592" i="20"/>
  <c r="B1593" i="20"/>
  <c r="B1594" i="20"/>
  <c r="B1595" i="20"/>
  <c r="B1596" i="20"/>
  <c r="B1597" i="20"/>
  <c r="B1598" i="20"/>
  <c r="B1599" i="20"/>
  <c r="B1600" i="20"/>
  <c r="B1601" i="20"/>
  <c r="B1602" i="20"/>
  <c r="B1603" i="20"/>
  <c r="B1604" i="20"/>
  <c r="B1605" i="20"/>
  <c r="B1606" i="20"/>
  <c r="B1607" i="20"/>
  <c r="B1608" i="20"/>
  <c r="B1609" i="20"/>
  <c r="B1610" i="20"/>
  <c r="B1611" i="20"/>
  <c r="B1612" i="20"/>
  <c r="B1613" i="20"/>
  <c r="B1614" i="20"/>
  <c r="B1615" i="20"/>
  <c r="B1616" i="20"/>
  <c r="B1617" i="20"/>
  <c r="B1618" i="20"/>
  <c r="B1619" i="20"/>
  <c r="B1620" i="20"/>
  <c r="B1621" i="20"/>
  <c r="B1622" i="20"/>
  <c r="B1623" i="20"/>
  <c r="B1624" i="20"/>
  <c r="B1625" i="20"/>
  <c r="B1626" i="20"/>
  <c r="B1627" i="20"/>
  <c r="B1628" i="20"/>
  <c r="B1629" i="20"/>
  <c r="B1630" i="20"/>
  <c r="B1631" i="20"/>
  <c r="B1632" i="20"/>
  <c r="B1633" i="20"/>
  <c r="B1634" i="20"/>
  <c r="B1635" i="20"/>
  <c r="B1636" i="20"/>
  <c r="B1637" i="20"/>
  <c r="B1638" i="20"/>
  <c r="B1639" i="20"/>
  <c r="B1640" i="20"/>
  <c r="B1641" i="20"/>
  <c r="B1642" i="20"/>
  <c r="B1643" i="20"/>
  <c r="B1644" i="20"/>
  <c r="B1645" i="20"/>
  <c r="B1646" i="20"/>
  <c r="B1647" i="20"/>
  <c r="B1648" i="20"/>
  <c r="B1649" i="20"/>
  <c r="B1650" i="20"/>
  <c r="B1651" i="20"/>
  <c r="B1652" i="20"/>
  <c r="B1653" i="20"/>
  <c r="B1654" i="20"/>
  <c r="B1655" i="20"/>
  <c r="B1656" i="20"/>
  <c r="B1657" i="20"/>
  <c r="B1658" i="20"/>
  <c r="B1659" i="20"/>
  <c r="B1660" i="20"/>
  <c r="B1661" i="20"/>
  <c r="B1662" i="20"/>
  <c r="B1663" i="20"/>
  <c r="B1664" i="20"/>
  <c r="B1665" i="20"/>
  <c r="B1666" i="20"/>
  <c r="B1667" i="20"/>
  <c r="B1668" i="20"/>
  <c r="B1669" i="20"/>
  <c r="B1670" i="20"/>
  <c r="B1671" i="20"/>
  <c r="B1672" i="20"/>
  <c r="B1673" i="20"/>
  <c r="B1674" i="20"/>
  <c r="B1675" i="20"/>
  <c r="B1676" i="20"/>
  <c r="B1677" i="20"/>
  <c r="B1678" i="20"/>
  <c r="B1679" i="20"/>
  <c r="B1680" i="20"/>
  <c r="B1681" i="20"/>
  <c r="B1682" i="20"/>
  <c r="B1683" i="20"/>
  <c r="B1684" i="20"/>
  <c r="B1685" i="20"/>
  <c r="B1686" i="20"/>
  <c r="B1687" i="20"/>
  <c r="B1688" i="20"/>
  <c r="B1689" i="20"/>
  <c r="B1690" i="20"/>
  <c r="B1691" i="20"/>
  <c r="B1692" i="20"/>
  <c r="B1693" i="20"/>
  <c r="B1694" i="20"/>
  <c r="B1695" i="20"/>
  <c r="B1696" i="20"/>
  <c r="B1697" i="20"/>
  <c r="B1698" i="20"/>
  <c r="B1699" i="20"/>
  <c r="B1700" i="20"/>
  <c r="B1701" i="20"/>
  <c r="B1702" i="20"/>
  <c r="B1703" i="20"/>
  <c r="B1704" i="20"/>
  <c r="B1705" i="20"/>
  <c r="B1706" i="20"/>
  <c r="B1707" i="20"/>
  <c r="B1708" i="20"/>
  <c r="B1709" i="20"/>
  <c r="B1710" i="20"/>
  <c r="B1711" i="20"/>
  <c r="B1712" i="20"/>
  <c r="B1713" i="20"/>
  <c r="B1714" i="20"/>
  <c r="B2" i="20"/>
  <c r="K26" i="18"/>
  <c r="L26" i="18" s="1"/>
  <c r="I26" i="18"/>
  <c r="H26" i="18" s="1"/>
  <c r="G30" i="18"/>
  <c r="G31" i="18" s="1"/>
  <c r="G28" i="18"/>
  <c r="G27" i="18" s="1"/>
  <c r="D4" i="12"/>
  <c r="Q79" i="12"/>
  <c r="P79" i="12"/>
  <c r="K19" i="8"/>
  <c r="L19" i="8" s="1"/>
  <c r="M19" i="8" s="1"/>
  <c r="N19" i="8" s="1"/>
  <c r="O19" i="8" s="1"/>
  <c r="G47" i="8"/>
  <c r="H47" i="8"/>
  <c r="I47" i="8"/>
  <c r="J47" i="8"/>
  <c r="G48" i="8"/>
  <c r="H48" i="8"/>
  <c r="I48" i="8"/>
  <c r="J48" i="8"/>
  <c r="G49" i="8"/>
  <c r="H49" i="8"/>
  <c r="I49" i="8"/>
  <c r="J49" i="8"/>
  <c r="G50" i="8"/>
  <c r="H50" i="8"/>
  <c r="I50" i="8"/>
  <c r="J50" i="8"/>
  <c r="F47" i="8"/>
  <c r="F48" i="8"/>
  <c r="F49" i="8"/>
  <c r="F50" i="8"/>
  <c r="K42" i="8"/>
  <c r="L42" i="8" s="1"/>
  <c r="M42" i="8" s="1"/>
  <c r="N42" i="8" s="1"/>
  <c r="O42" i="8" s="1"/>
  <c r="K41" i="8"/>
  <c r="L41" i="8" s="1"/>
  <c r="M41" i="8" s="1"/>
  <c r="N41" i="8" s="1"/>
  <c r="O41" i="8" s="1"/>
  <c r="K40" i="8"/>
  <c r="L40" i="8" s="1"/>
  <c r="M40" i="8" s="1"/>
  <c r="N40" i="8" s="1"/>
  <c r="O40" i="8" s="1"/>
  <c r="K39" i="8"/>
  <c r="L39" i="8" s="1"/>
  <c r="M39" i="8" s="1"/>
  <c r="N39" i="8" s="1"/>
  <c r="O39" i="8" s="1"/>
  <c r="AC47" i="12"/>
  <c r="G24" i="8"/>
  <c r="H24" i="8" s="1"/>
  <c r="I24" i="8" s="1"/>
  <c r="J24" i="8" s="1"/>
  <c r="D14" i="18"/>
  <c r="K22" i="18" s="1"/>
  <c r="R36" i="12"/>
  <c r="AF33" i="12" s="1"/>
  <c r="U93" i="12"/>
  <c r="T93" i="12"/>
  <c r="R93" i="12"/>
  <c r="Q93" i="12"/>
  <c r="P93" i="12"/>
  <c r="O93" i="12"/>
  <c r="N93" i="12"/>
  <c r="M93" i="12"/>
  <c r="L93" i="12"/>
  <c r="K93" i="12"/>
  <c r="J93" i="12"/>
  <c r="M27" i="13"/>
  <c r="N27" i="13"/>
  <c r="M28" i="13"/>
  <c r="N28" i="13"/>
  <c r="L28" i="13"/>
  <c r="L27" i="13"/>
  <c r="M34" i="13"/>
  <c r="N34" i="13"/>
  <c r="O34" i="13"/>
  <c r="P34" i="13"/>
  <c r="N35" i="13"/>
  <c r="L34" i="13"/>
  <c r="M33" i="13"/>
  <c r="N33" i="13"/>
  <c r="O33" i="13"/>
  <c r="P33" i="13"/>
  <c r="L33" i="13"/>
  <c r="M10" i="13"/>
  <c r="N10" i="13"/>
  <c r="O10" i="13"/>
  <c r="P10" i="13"/>
  <c r="M11" i="13"/>
  <c r="N11" i="13"/>
  <c r="O11" i="13"/>
  <c r="P11" i="13"/>
  <c r="M12" i="13"/>
  <c r="N12" i="13"/>
  <c r="M14" i="13"/>
  <c r="N14" i="13"/>
  <c r="M16" i="13"/>
  <c r="N16" i="13"/>
  <c r="L16" i="13"/>
  <c r="L14" i="13"/>
  <c r="L12" i="13"/>
  <c r="L11" i="13"/>
  <c r="L10" i="13"/>
  <c r="K38" i="8"/>
  <c r="L38" i="8" s="1"/>
  <c r="M38" i="8" s="1"/>
  <c r="N38" i="8" s="1"/>
  <c r="O38" i="8" s="1"/>
  <c r="J35" i="2"/>
  <c r="J36" i="2"/>
  <c r="N36" i="2" s="1"/>
  <c r="R35" i="19"/>
  <c r="P35" i="13"/>
  <c r="O28" i="13"/>
  <c r="O12" i="13"/>
  <c r="O14" i="13"/>
  <c r="BJ21" i="11" l="1"/>
  <c r="BR23" i="11"/>
  <c r="CC15" i="11"/>
  <c r="P28" i="13"/>
  <c r="K38" i="12"/>
  <c r="BL23" i="11"/>
  <c r="BK35" i="11"/>
  <c r="BL12" i="11"/>
  <c r="BL35" i="11"/>
  <c r="BK21" i="11"/>
  <c r="CM34" i="11"/>
  <c r="P38" i="12"/>
  <c r="BL21" i="11"/>
  <c r="CC24" i="11"/>
  <c r="CM35" i="11"/>
  <c r="BN21" i="11"/>
  <c r="CC23" i="11"/>
  <c r="R80" i="12"/>
  <c r="BO21" i="11"/>
  <c r="BN22" i="11"/>
  <c r="BN34" i="11"/>
  <c r="CC11" i="11"/>
  <c r="BR22" i="11"/>
  <c r="BO34" i="11"/>
  <c r="BS22" i="11"/>
  <c r="CC33" i="11"/>
  <c r="BJ35" i="11"/>
  <c r="CM22" i="11"/>
  <c r="P27" i="13"/>
  <c r="CM33" i="11"/>
  <c r="CC13" i="11"/>
  <c r="CC12" i="11"/>
  <c r="O27" i="13"/>
  <c r="CC14" i="11"/>
  <c r="BL33" i="11"/>
  <c r="BQ12" i="11"/>
  <c r="BN33" i="11"/>
  <c r="BP12" i="11"/>
  <c r="BS21" i="11"/>
  <c r="BJ22" i="11"/>
  <c r="CC22" i="11"/>
  <c r="CC32" i="11"/>
  <c r="BO33" i="11"/>
  <c r="CC34" i="11"/>
  <c r="BN35" i="11"/>
  <c r="BO12" i="11"/>
  <c r="BK22" i="11"/>
  <c r="BP33" i="11"/>
  <c r="BK34" i="11"/>
  <c r="BS35" i="11"/>
  <c r="BN12" i="11"/>
  <c r="BL22" i="11"/>
  <c r="BL34" i="11"/>
  <c r="CM21" i="11"/>
  <c r="BU28" i="11"/>
  <c r="BU27" i="11"/>
  <c r="AF17" i="11"/>
  <c r="AF18" i="11"/>
  <c r="AO18" i="11"/>
  <c r="AO17" i="11"/>
  <c r="BC18" i="11"/>
  <c r="BC17" i="11"/>
  <c r="AL28" i="11"/>
  <c r="AL27" i="11"/>
  <c r="AW28" i="11"/>
  <c r="AW27" i="11"/>
  <c r="BR11" i="11"/>
  <c r="BN14" i="11"/>
  <c r="BO13" i="11"/>
  <c r="BR15" i="11"/>
  <c r="CE28" i="11"/>
  <c r="CE27" i="11"/>
  <c r="BQ23" i="11"/>
  <c r="BO24" i="11"/>
  <c r="BN25" i="11"/>
  <c r="CC25" i="11"/>
  <c r="BL31" i="11"/>
  <c r="BV38" i="11"/>
  <c r="BV37" i="11"/>
  <c r="BK32" i="11"/>
  <c r="BK33" i="11"/>
  <c r="BJ34" i="11"/>
  <c r="BS34" i="11"/>
  <c r="BR35" i="11"/>
  <c r="CM32" i="11"/>
  <c r="AY38" i="11"/>
  <c r="AY37" i="11"/>
  <c r="AH38" i="11"/>
  <c r="AH37" i="11"/>
  <c r="AG18" i="11"/>
  <c r="AG17" i="11"/>
  <c r="BD17" i="11"/>
  <c r="BD18" i="11"/>
  <c r="AM28" i="11"/>
  <c r="AM27" i="11"/>
  <c r="AY28" i="11"/>
  <c r="AY27" i="11"/>
  <c r="BS11" i="11"/>
  <c r="CE17" i="11"/>
  <c r="CE18" i="11"/>
  <c r="BL14" i="11"/>
  <c r="BN13" i="11"/>
  <c r="BQ15" i="11"/>
  <c r="BP24" i="11"/>
  <c r="BO25" i="11"/>
  <c r="BN31" i="11"/>
  <c r="CC31" i="11"/>
  <c r="BX37" i="11"/>
  <c r="BX38" i="11"/>
  <c r="BL32" i="11"/>
  <c r="AZ37" i="11"/>
  <c r="AZ38" i="11"/>
  <c r="AI38" i="11"/>
  <c r="AI37" i="11"/>
  <c r="AH17" i="11"/>
  <c r="AH18" i="11"/>
  <c r="AT17" i="11"/>
  <c r="AT18" i="11"/>
  <c r="BE17" i="11"/>
  <c r="BE18" i="11"/>
  <c r="AN27" i="11"/>
  <c r="AN28" i="11"/>
  <c r="AZ28" i="11"/>
  <c r="AZ27" i="11"/>
  <c r="BV18" i="11"/>
  <c r="BV17" i="11"/>
  <c r="CM11" i="11"/>
  <c r="BK14" i="11"/>
  <c r="BL13" i="11"/>
  <c r="BP15" i="11"/>
  <c r="BV27" i="11"/>
  <c r="BV28" i="11"/>
  <c r="BJ23" i="11"/>
  <c r="BS23" i="11"/>
  <c r="BQ24" i="11"/>
  <c r="BP25" i="11"/>
  <c r="BO31" i="11"/>
  <c r="BY38" i="11"/>
  <c r="BY37" i="11"/>
  <c r="BN32" i="11"/>
  <c r="BA38" i="11"/>
  <c r="BA37" i="11"/>
  <c r="AK38" i="11"/>
  <c r="AK37" i="11"/>
  <c r="N19" i="12"/>
  <c r="M38" i="12"/>
  <c r="AI17" i="11"/>
  <c r="AI18" i="11"/>
  <c r="AU17" i="11"/>
  <c r="AU18" i="11"/>
  <c r="AF28" i="11"/>
  <c r="AF27" i="11"/>
  <c r="AO28" i="11"/>
  <c r="AO27" i="11"/>
  <c r="BA28" i="11"/>
  <c r="BA27" i="11"/>
  <c r="BU11" i="11"/>
  <c r="BS14" i="11"/>
  <c r="BJ14" i="11"/>
  <c r="BK13" i="11"/>
  <c r="BO15" i="11"/>
  <c r="CC21" i="11"/>
  <c r="BX28" i="11"/>
  <c r="BX27" i="11"/>
  <c r="BK23" i="11"/>
  <c r="BR24" i="11"/>
  <c r="BQ25" i="11"/>
  <c r="BP31" i="11"/>
  <c r="BZ38" i="11"/>
  <c r="BZ37" i="11"/>
  <c r="BO32" i="11"/>
  <c r="BC38" i="11"/>
  <c r="BC37" i="11"/>
  <c r="AL37" i="11"/>
  <c r="AL38" i="11"/>
  <c r="AK17" i="11"/>
  <c r="AK18" i="11"/>
  <c r="AV17" i="11"/>
  <c r="AV18" i="11"/>
  <c r="AG27" i="11"/>
  <c r="AG28" i="11"/>
  <c r="AP27" i="11"/>
  <c r="AP28" i="11"/>
  <c r="BC27" i="11"/>
  <c r="BC28" i="11"/>
  <c r="BR14" i="11"/>
  <c r="BS13" i="11"/>
  <c r="BJ13" i="11"/>
  <c r="BN15" i="11"/>
  <c r="BY28" i="11"/>
  <c r="BY27" i="11"/>
  <c r="BJ24" i="11"/>
  <c r="BS24" i="11"/>
  <c r="BR25" i="11"/>
  <c r="BQ31" i="11"/>
  <c r="CA38" i="11"/>
  <c r="CA37" i="11"/>
  <c r="BP32" i="11"/>
  <c r="CM23" i="11"/>
  <c r="AT38" i="11"/>
  <c r="AT37" i="11"/>
  <c r="BD38" i="11"/>
  <c r="BD37" i="11"/>
  <c r="AM38" i="11"/>
  <c r="AM37" i="11"/>
  <c r="P16" i="13"/>
  <c r="O16" i="13"/>
  <c r="L19" i="12"/>
  <c r="Q38" i="12"/>
  <c r="CO8" i="11"/>
  <c r="AY17" i="11"/>
  <c r="AY18" i="11"/>
  <c r="AH27" i="11"/>
  <c r="AH28" i="11"/>
  <c r="AT28" i="11"/>
  <c r="AT27" i="11"/>
  <c r="BD28" i="11"/>
  <c r="BD27" i="11"/>
  <c r="BY17" i="11"/>
  <c r="BY18" i="11"/>
  <c r="BQ14" i="11"/>
  <c r="BR13" i="11"/>
  <c r="BK12" i="11"/>
  <c r="BL15" i="11"/>
  <c r="BP21" i="11"/>
  <c r="BZ27" i="11"/>
  <c r="BZ28" i="11"/>
  <c r="BO22" i="11"/>
  <c r="BN23" i="11"/>
  <c r="BK24" i="11"/>
  <c r="BJ25" i="11"/>
  <c r="BS25" i="11"/>
  <c r="BR31" i="11"/>
  <c r="CD37" i="11"/>
  <c r="CD38" i="11"/>
  <c r="BQ32" i="11"/>
  <c r="BQ33" i="11"/>
  <c r="BP34" i="11"/>
  <c r="BO35" i="11"/>
  <c r="CM24" i="11"/>
  <c r="AU38" i="11"/>
  <c r="AU37" i="11"/>
  <c r="BE38" i="11"/>
  <c r="BE37" i="11"/>
  <c r="AN38" i="11"/>
  <c r="AN37" i="11"/>
  <c r="P14" i="13"/>
  <c r="AW11" i="11"/>
  <c r="AW17" i="11" s="1"/>
  <c r="CS17" i="11"/>
  <c r="CS18" i="11"/>
  <c r="AM18" i="11"/>
  <c r="AM17" i="11"/>
  <c r="AZ18" i="11"/>
  <c r="AZ17" i="11"/>
  <c r="AI28" i="11"/>
  <c r="AI27" i="11"/>
  <c r="AU28" i="11"/>
  <c r="AU27" i="11"/>
  <c r="BE28" i="11"/>
  <c r="BE27" i="11"/>
  <c r="BP14" i="11"/>
  <c r="BQ13" i="11"/>
  <c r="BS12" i="11"/>
  <c r="BJ12" i="11"/>
  <c r="BK15" i="11"/>
  <c r="BQ21" i="11"/>
  <c r="CA28" i="11"/>
  <c r="CA27" i="11"/>
  <c r="BP22" i="11"/>
  <c r="BO23" i="11"/>
  <c r="BL24" i="11"/>
  <c r="BK25" i="11"/>
  <c r="BJ31" i="11"/>
  <c r="BS31" i="11"/>
  <c r="CE38" i="11"/>
  <c r="CE37" i="11"/>
  <c r="BR32" i="11"/>
  <c r="BR33" i="11"/>
  <c r="BQ34" i="11"/>
  <c r="BP35" i="11"/>
  <c r="CM25" i="11"/>
  <c r="AV38" i="11"/>
  <c r="AV37" i="11"/>
  <c r="AF37" i="11"/>
  <c r="AF38" i="11"/>
  <c r="AO37" i="11"/>
  <c r="AO38" i="11"/>
  <c r="BA18" i="11"/>
  <c r="BA17" i="11"/>
  <c r="AK28" i="11"/>
  <c r="AK27" i="11"/>
  <c r="AV28" i="11"/>
  <c r="AV27" i="11"/>
  <c r="BQ11" i="11"/>
  <c r="BO14" i="11"/>
  <c r="BP13" i="11"/>
  <c r="BR12" i="11"/>
  <c r="BS15" i="11"/>
  <c r="BJ15" i="11"/>
  <c r="CD28" i="11"/>
  <c r="CD27" i="11"/>
  <c r="BK31" i="11"/>
  <c r="BU38" i="11"/>
  <c r="BU37" i="11"/>
  <c r="BJ32" i="11"/>
  <c r="BJ33" i="11"/>
  <c r="AW38" i="11"/>
  <c r="AW37" i="11"/>
  <c r="AG38" i="11"/>
  <c r="AG37" i="11"/>
  <c r="AP38" i="11"/>
  <c r="AP37" i="11"/>
  <c r="BX18" i="11"/>
  <c r="BX17" i="11"/>
  <c r="CD18" i="11"/>
  <c r="CD17" i="11"/>
  <c r="CA17" i="11"/>
  <c r="CA18" i="11"/>
  <c r="BZ17" i="11"/>
  <c r="BZ18" i="11"/>
  <c r="AP18" i="11"/>
  <c r="AP17" i="11"/>
  <c r="AN18" i="11"/>
  <c r="AN17" i="11"/>
  <c r="AL18" i="11"/>
  <c r="AL17" i="11"/>
  <c r="BJ11" i="11"/>
  <c r="BK11" i="11"/>
  <c r="CR40" i="11"/>
  <c r="BL11" i="11"/>
  <c r="CR43" i="11"/>
  <c r="BN11" i="11"/>
  <c r="BO11" i="11"/>
  <c r="BY41" i="11"/>
  <c r="BY40" i="11"/>
  <c r="BY42" i="11"/>
  <c r="BY43" i="11"/>
  <c r="L37" i="2"/>
  <c r="F27" i="12"/>
  <c r="R55" i="12"/>
  <c r="CT8" i="11"/>
  <c r="O35" i="13"/>
  <c r="P12" i="13"/>
  <c r="K37" i="2"/>
  <c r="J37" i="2"/>
  <c r="N35" i="2"/>
  <c r="N37" i="2" s="1"/>
  <c r="J11" i="2"/>
  <c r="K11" i="2" s="1"/>
  <c r="L11" i="2" s="1"/>
  <c r="M11" i="2" s="1"/>
  <c r="N11" i="2" s="1"/>
  <c r="H11" i="17"/>
  <c r="H12" i="17"/>
  <c r="H13" i="17"/>
  <c r="J19" i="2"/>
  <c r="K19" i="2" s="1"/>
  <c r="L19" i="2" s="1"/>
  <c r="M19" i="2" s="1"/>
  <c r="N19" i="2" s="1"/>
  <c r="J20" i="2"/>
  <c r="K20" i="2" s="1"/>
  <c r="L20" i="2" s="1"/>
  <c r="M20" i="2" s="1"/>
  <c r="N20" i="2" s="1"/>
  <c r="J21" i="2"/>
  <c r="K21" i="2" s="1"/>
  <c r="L21" i="2" s="1"/>
  <c r="M21" i="2" s="1"/>
  <c r="N21" i="2" s="1"/>
  <c r="H17" i="17"/>
  <c r="H19" i="17"/>
  <c r="M36" i="2"/>
  <c r="T114" i="19"/>
  <c r="Q98" i="19"/>
  <c r="S98" i="19" s="1"/>
  <c r="U98" i="19" s="1"/>
  <c r="T109" i="19"/>
  <c r="U109" i="19"/>
  <c r="O102" i="19"/>
  <c r="O103" i="19"/>
  <c r="O104" i="19"/>
  <c r="Q109" i="19"/>
  <c r="R109" i="19"/>
  <c r="P109" i="19"/>
  <c r="O109" i="19"/>
  <c r="K109" i="19"/>
  <c r="L109" i="19"/>
  <c r="M109" i="19"/>
  <c r="N109" i="19"/>
  <c r="J109" i="19"/>
  <c r="K105" i="19"/>
  <c r="L105" i="19"/>
  <c r="M105" i="19"/>
  <c r="N105" i="19"/>
  <c r="J105" i="19"/>
  <c r="H13" i="8"/>
  <c r="I13" i="8" s="1"/>
  <c r="J13" i="8" s="1"/>
  <c r="G14" i="8"/>
  <c r="H14" i="8" s="1"/>
  <c r="I14" i="8" s="1"/>
  <c r="J14" i="8" s="1"/>
  <c r="G13" i="8"/>
  <c r="G12" i="8"/>
  <c r="H12" i="8" s="1"/>
  <c r="I12" i="8" s="1"/>
  <c r="J12" i="8" s="1"/>
  <c r="AA75" i="12"/>
  <c r="AA76" i="12" s="1"/>
  <c r="AA73" i="12"/>
  <c r="AA72" i="12" s="1"/>
  <c r="AE71" i="12"/>
  <c r="AF71" i="12" s="1"/>
  <c r="AC71" i="12"/>
  <c r="AB71" i="12" s="1"/>
  <c r="X83" i="19"/>
  <c r="W83" i="19"/>
  <c r="V83" i="19"/>
  <c r="U83" i="19"/>
  <c r="T83" i="19"/>
  <c r="Q81" i="19"/>
  <c r="P81" i="19"/>
  <c r="N81" i="19"/>
  <c r="N104" i="19" s="1"/>
  <c r="M81" i="19"/>
  <c r="M104" i="19" s="1"/>
  <c r="L81" i="19"/>
  <c r="L104" i="19" s="1"/>
  <c r="K81" i="19"/>
  <c r="K104" i="19" s="1"/>
  <c r="J81" i="19"/>
  <c r="J104" i="19" s="1"/>
  <c r="Q79" i="19"/>
  <c r="P79" i="19"/>
  <c r="N79" i="19"/>
  <c r="M79" i="19"/>
  <c r="L79" i="19"/>
  <c r="K79" i="19"/>
  <c r="J79" i="19"/>
  <c r="Q78" i="19"/>
  <c r="P78" i="19"/>
  <c r="Q77" i="19"/>
  <c r="P77" i="19"/>
  <c r="R76" i="19"/>
  <c r="P76" i="19"/>
  <c r="J76" i="19"/>
  <c r="C69" i="19"/>
  <c r="C68" i="19"/>
  <c r="AA66" i="19"/>
  <c r="AA67" i="19" s="1"/>
  <c r="AA64" i="19"/>
  <c r="AA63" i="19" s="1"/>
  <c r="Q64" i="19"/>
  <c r="P64" i="19"/>
  <c r="N64" i="19"/>
  <c r="M64" i="19"/>
  <c r="L64" i="19"/>
  <c r="K64" i="19"/>
  <c r="J64" i="19"/>
  <c r="AE62" i="19"/>
  <c r="AF62" i="19" s="1"/>
  <c r="AC62" i="19"/>
  <c r="AB62" i="19" s="1"/>
  <c r="R59" i="19"/>
  <c r="AA57" i="19"/>
  <c r="AA58" i="19" s="1"/>
  <c r="AA55" i="19"/>
  <c r="Q55" i="19"/>
  <c r="Q65" i="19" s="1"/>
  <c r="P55" i="19"/>
  <c r="P65" i="19" s="1"/>
  <c r="N55" i="19"/>
  <c r="M55" i="19"/>
  <c r="M65" i="19" s="1"/>
  <c r="L55" i="19"/>
  <c r="L65" i="19" s="1"/>
  <c r="K55" i="19"/>
  <c r="K65" i="19" s="1"/>
  <c r="J55" i="19"/>
  <c r="J65" i="19" s="1"/>
  <c r="AA54" i="19"/>
  <c r="R49" i="19"/>
  <c r="R64" i="19" s="1"/>
  <c r="X43" i="19"/>
  <c r="W43" i="19"/>
  <c r="V43" i="19"/>
  <c r="U43" i="19"/>
  <c r="T43" i="19"/>
  <c r="F39" i="19"/>
  <c r="E39" i="19"/>
  <c r="D39" i="19"/>
  <c r="N38" i="19"/>
  <c r="N80" i="19" s="1"/>
  <c r="M38" i="19"/>
  <c r="M80" i="19" s="1"/>
  <c r="L38" i="19"/>
  <c r="L80" i="19" s="1"/>
  <c r="K38" i="19"/>
  <c r="K80" i="19" s="1"/>
  <c r="J38" i="19"/>
  <c r="J80" i="19" s="1"/>
  <c r="N37" i="19"/>
  <c r="R37" i="19" s="1"/>
  <c r="M37" i="19"/>
  <c r="L37" i="19"/>
  <c r="K37" i="19"/>
  <c r="J37" i="19"/>
  <c r="T35" i="19"/>
  <c r="U35" i="19" s="1"/>
  <c r="V35" i="19" s="1"/>
  <c r="W35" i="19" s="1"/>
  <c r="X35" i="19" s="1"/>
  <c r="AF34" i="19"/>
  <c r="F34" i="19"/>
  <c r="AF30" i="19"/>
  <c r="R29" i="19"/>
  <c r="R28" i="19"/>
  <c r="F28" i="19"/>
  <c r="R27" i="19"/>
  <c r="R26" i="19"/>
  <c r="F25" i="19"/>
  <c r="F24" i="19"/>
  <c r="R23" i="19"/>
  <c r="F22" i="19"/>
  <c r="E22" i="19"/>
  <c r="N20" i="19" a="1"/>
  <c r="N20" i="19" s="1"/>
  <c r="N78" i="19" s="1"/>
  <c r="N103" i="19" s="1"/>
  <c r="M20" i="19" a="1"/>
  <c r="M20" i="19" s="1"/>
  <c r="M78" i="19" s="1"/>
  <c r="M103" i="19" s="1"/>
  <c r="L20" i="19" a="1"/>
  <c r="L20" i="19" s="1"/>
  <c r="L78" i="19" s="1"/>
  <c r="L103" i="19" s="1"/>
  <c r="K20" i="19" a="1"/>
  <c r="K20" i="19" s="1"/>
  <c r="K78" i="19" s="1"/>
  <c r="K103" i="19" s="1"/>
  <c r="J20" i="19" a="1"/>
  <c r="J20" i="19" s="1"/>
  <c r="J78" i="19" s="1"/>
  <c r="J103" i="19" s="1"/>
  <c r="Q16" i="19"/>
  <c r="Q48" i="19" s="1"/>
  <c r="Q50" i="19" s="1"/>
  <c r="Q51" i="19" s="1"/>
  <c r="P16" i="19"/>
  <c r="P48" i="19" s="1"/>
  <c r="P50" i="19" s="1"/>
  <c r="P51" i="19" s="1"/>
  <c r="N15" i="19" a="1"/>
  <c r="N15" i="19" s="1"/>
  <c r="R15" i="19" s="1"/>
  <c r="M15" i="19" a="1"/>
  <c r="M15" i="19" s="1"/>
  <c r="L15" i="19" a="1"/>
  <c r="L15" i="19" s="1"/>
  <c r="L77" i="19" s="1"/>
  <c r="L102" i="19" s="1"/>
  <c r="K15" i="19" a="1"/>
  <c r="K15" i="19" s="1"/>
  <c r="J15" i="19" a="1"/>
  <c r="J15" i="19" s="1"/>
  <c r="J16" i="19" s="1"/>
  <c r="Q12" i="19"/>
  <c r="Q76" i="19" s="1"/>
  <c r="N12" i="19"/>
  <c r="N76" i="19" s="1"/>
  <c r="M12" i="19"/>
  <c r="M76" i="19" s="1"/>
  <c r="L12" i="19"/>
  <c r="L76" i="19" s="1"/>
  <c r="K12" i="19"/>
  <c r="K76" i="19" s="1"/>
  <c r="R11" i="19"/>
  <c r="R81" i="19" s="1"/>
  <c r="O11" i="19"/>
  <c r="O105" i="19" s="1"/>
  <c r="B1" i="19"/>
  <c r="C67" i="12"/>
  <c r="AK8" i="11" s="1"/>
  <c r="C68" i="12"/>
  <c r="T36" i="12"/>
  <c r="U36" i="12" s="1"/>
  <c r="V36" i="12" s="1"/>
  <c r="W36" i="12" s="1"/>
  <c r="X36" i="12" s="1"/>
  <c r="AE62" i="12"/>
  <c r="AF62" i="12" s="1"/>
  <c r="AC62" i="12"/>
  <c r="AB62" i="12" s="1"/>
  <c r="B1" i="12"/>
  <c r="C48" i="12"/>
  <c r="E38" i="12"/>
  <c r="F38" i="12"/>
  <c r="D38" i="12"/>
  <c r="U82" i="12"/>
  <c r="V82" i="12"/>
  <c r="W82" i="12"/>
  <c r="X82" i="12"/>
  <c r="T82" i="12"/>
  <c r="BP17" i="11" l="1"/>
  <c r="CC17" i="11"/>
  <c r="BL27" i="11"/>
  <c r="BS17" i="11"/>
  <c r="CC18" i="11"/>
  <c r="BR28" i="11"/>
  <c r="BN27" i="11"/>
  <c r="BK27" i="11"/>
  <c r="BS28" i="11"/>
  <c r="BN28" i="11"/>
  <c r="BP18" i="11"/>
  <c r="BK28" i="11"/>
  <c r="BS27" i="11"/>
  <c r="BO27" i="11"/>
  <c r="BJ28" i="11"/>
  <c r="BS18" i="11"/>
  <c r="BN17" i="11"/>
  <c r="BN18" i="11"/>
  <c r="BO28" i="11"/>
  <c r="BN37" i="11"/>
  <c r="BN38" i="11"/>
  <c r="Q67" i="19"/>
  <c r="BQ38" i="11"/>
  <c r="BQ37" i="11"/>
  <c r="BR17" i="11"/>
  <c r="BR18" i="11"/>
  <c r="BS38" i="11"/>
  <c r="BS37" i="11"/>
  <c r="BQ28" i="11"/>
  <c r="BQ27" i="11"/>
  <c r="BJ37" i="11"/>
  <c r="BJ38" i="11"/>
  <c r="BR38" i="11"/>
  <c r="BR37" i="11"/>
  <c r="BP28" i="11"/>
  <c r="BP27" i="11"/>
  <c r="BU18" i="11"/>
  <c r="BU17" i="11"/>
  <c r="BL38" i="11"/>
  <c r="BL37" i="11"/>
  <c r="CC28" i="11"/>
  <c r="CC27" i="11"/>
  <c r="BJ27" i="11"/>
  <c r="BJ17" i="11"/>
  <c r="BJ18" i="11"/>
  <c r="AW18" i="11"/>
  <c r="BK38" i="11"/>
  <c r="BK37" i="11"/>
  <c r="BQ17" i="11"/>
  <c r="BQ18" i="11"/>
  <c r="BP38" i="11"/>
  <c r="BP37" i="11"/>
  <c r="BL28" i="11"/>
  <c r="BR27" i="11"/>
  <c r="J67" i="19"/>
  <c r="BO38" i="11"/>
  <c r="BO37" i="11"/>
  <c r="CC38" i="11"/>
  <c r="CC37" i="11"/>
  <c r="BO17" i="11"/>
  <c r="BO18" i="11"/>
  <c r="BL17" i="11"/>
  <c r="BL18" i="11"/>
  <c r="BK17" i="11"/>
  <c r="BK18" i="11"/>
  <c r="M37" i="2"/>
  <c r="CL8" i="11"/>
  <c r="B1" i="13"/>
  <c r="B1" i="2"/>
  <c r="H14" i="17"/>
  <c r="CK8" i="11"/>
  <c r="H18" i="17"/>
  <c r="F23" i="19"/>
  <c r="F29" i="19"/>
  <c r="K67" i="19"/>
  <c r="P67" i="19"/>
  <c r="R77" i="19"/>
  <c r="P17" i="19"/>
  <c r="P21" i="19"/>
  <c r="P24" i="19" s="1"/>
  <c r="P30" i="19" s="1"/>
  <c r="P82" i="19" s="1"/>
  <c r="Q17" i="19"/>
  <c r="Q21" i="19"/>
  <c r="Q22" i="19" s="1"/>
  <c r="C41" i="19"/>
  <c r="L67" i="19"/>
  <c r="M67" i="19"/>
  <c r="J77" i="19"/>
  <c r="J102" i="19" s="1"/>
  <c r="M77" i="19"/>
  <c r="M102" i="19" s="1"/>
  <c r="M16" i="19"/>
  <c r="K77" i="19"/>
  <c r="K102" i="19" s="1"/>
  <c r="K16" i="19"/>
  <c r="R38" i="19"/>
  <c r="J17" i="19"/>
  <c r="J48" i="19"/>
  <c r="J50" i="19" s="1"/>
  <c r="J51" i="19" s="1"/>
  <c r="J21" i="19"/>
  <c r="L16" i="19"/>
  <c r="N65" i="19"/>
  <c r="N67" i="19" s="1"/>
  <c r="R55" i="19"/>
  <c r="R65" i="19" s="1"/>
  <c r="R67" i="19" s="1"/>
  <c r="N77" i="19"/>
  <c r="N102" i="19" s="1"/>
  <c r="N16" i="19"/>
  <c r="R20" i="19"/>
  <c r="R78" i="19" s="1"/>
  <c r="R16" i="19"/>
  <c r="R79" i="19"/>
  <c r="F55" i="19"/>
  <c r="D18" i="17"/>
  <c r="E18" i="17"/>
  <c r="F18" i="17"/>
  <c r="G18" i="17"/>
  <c r="D19" i="17"/>
  <c r="E19" i="17"/>
  <c r="F19" i="17"/>
  <c r="G19" i="17"/>
  <c r="C19" i="17"/>
  <c r="D17" i="17"/>
  <c r="E17" i="17"/>
  <c r="F17" i="17"/>
  <c r="G17" i="17"/>
  <c r="C17" i="17"/>
  <c r="D13" i="17"/>
  <c r="E13" i="17"/>
  <c r="F13" i="17"/>
  <c r="G13" i="17"/>
  <c r="C13" i="17"/>
  <c r="D7" i="17"/>
  <c r="E7" i="17"/>
  <c r="F7" i="17"/>
  <c r="G7" i="17"/>
  <c r="C7" i="17"/>
  <c r="K6" i="17"/>
  <c r="L6" i="17"/>
  <c r="M6" i="17"/>
  <c r="N6" i="17"/>
  <c r="J6" i="17"/>
  <c r="D6" i="17"/>
  <c r="E6" i="17"/>
  <c r="F6" i="17"/>
  <c r="G6" i="17"/>
  <c r="C6" i="17"/>
  <c r="B1" i="11"/>
  <c r="X44" i="12"/>
  <c r="W44" i="12"/>
  <c r="V44" i="12"/>
  <c r="U44" i="12"/>
  <c r="T44" i="12"/>
  <c r="K39" i="12"/>
  <c r="K79" i="12" s="1"/>
  <c r="L39" i="12"/>
  <c r="L79" i="12" s="1"/>
  <c r="M39" i="12"/>
  <c r="M79" i="12" s="1"/>
  <c r="N39" i="12"/>
  <c r="R39" i="12" s="1"/>
  <c r="CP8" i="11" s="1"/>
  <c r="J39" i="12"/>
  <c r="J79" i="12" s="1"/>
  <c r="R38" i="12"/>
  <c r="H37" i="13"/>
  <c r="G37" i="13"/>
  <c r="F37" i="13"/>
  <c r="E37" i="13"/>
  <c r="D37" i="13"/>
  <c r="H30" i="13"/>
  <c r="G30" i="13"/>
  <c r="F30" i="13"/>
  <c r="E30" i="13"/>
  <c r="D30" i="13"/>
  <c r="D15" i="18"/>
  <c r="D19" i="18"/>
  <c r="J10" i="18"/>
  <c r="L10" i="18" s="1"/>
  <c r="J11" i="18"/>
  <c r="L11" i="18" s="1"/>
  <c r="J12" i="18"/>
  <c r="L12" i="18" s="1"/>
  <c r="J13" i="18"/>
  <c r="L13" i="18" s="1"/>
  <c r="J9" i="18"/>
  <c r="L9" i="18" s="1"/>
  <c r="G16" i="18"/>
  <c r="G15" i="18"/>
  <c r="B1" i="17"/>
  <c r="B1" i="18" s="1"/>
  <c r="C3" i="16"/>
  <c r="C17" i="16" s="1"/>
  <c r="K37" i="8"/>
  <c r="J37" i="8"/>
  <c r="I37" i="8"/>
  <c r="H37" i="8"/>
  <c r="G37" i="8"/>
  <c r="F37" i="8"/>
  <c r="K52" i="8"/>
  <c r="J52" i="8"/>
  <c r="I52" i="8"/>
  <c r="H52" i="8"/>
  <c r="G52" i="8"/>
  <c r="F52" i="8"/>
  <c r="G16" i="15"/>
  <c r="K30" i="17" s="1"/>
  <c r="H16" i="15"/>
  <c r="L30" i="17" s="1"/>
  <c r="I16" i="15"/>
  <c r="M30" i="17" s="1"/>
  <c r="J16" i="15"/>
  <c r="N30" i="17" s="1"/>
  <c r="G23" i="15"/>
  <c r="K31" i="17" s="1"/>
  <c r="H23" i="15"/>
  <c r="L31" i="17" s="1"/>
  <c r="I23" i="15"/>
  <c r="M31" i="17" s="1"/>
  <c r="J23" i="15"/>
  <c r="N31" i="17" s="1"/>
  <c r="G31" i="15"/>
  <c r="K34" i="17" s="1"/>
  <c r="H31" i="15"/>
  <c r="L34" i="17" s="1"/>
  <c r="I31" i="15"/>
  <c r="M34" i="17" s="1"/>
  <c r="J31" i="15"/>
  <c r="N34" i="17" s="1"/>
  <c r="G38" i="15"/>
  <c r="K35" i="17" s="1"/>
  <c r="H38" i="15"/>
  <c r="L35" i="17" s="1"/>
  <c r="I38" i="15"/>
  <c r="M35" i="17" s="1"/>
  <c r="J38" i="15"/>
  <c r="N35" i="17" s="1"/>
  <c r="G45" i="15"/>
  <c r="K36" i="17" s="1"/>
  <c r="H45" i="15"/>
  <c r="L36" i="17" s="1"/>
  <c r="I45" i="15"/>
  <c r="M36" i="17" s="1"/>
  <c r="J45" i="15"/>
  <c r="N36" i="17" s="1"/>
  <c r="F45" i="15"/>
  <c r="J36" i="17" s="1"/>
  <c r="F38" i="15"/>
  <c r="J35" i="17" s="1"/>
  <c r="F31" i="15"/>
  <c r="J34" i="17" s="1"/>
  <c r="F23" i="15"/>
  <c r="J31" i="17" s="1"/>
  <c r="F16" i="15"/>
  <c r="J30" i="17" s="1"/>
  <c r="G9" i="15"/>
  <c r="K29" i="17" s="1"/>
  <c r="H9" i="15"/>
  <c r="L29" i="17" s="1"/>
  <c r="I9" i="15"/>
  <c r="M29" i="17" s="1"/>
  <c r="J9" i="15"/>
  <c r="N29" i="17" s="1"/>
  <c r="F9" i="15"/>
  <c r="J29" i="17" s="1"/>
  <c r="G45" i="8"/>
  <c r="H45" i="8"/>
  <c r="I45" i="8"/>
  <c r="J45" i="8"/>
  <c r="G30" i="8"/>
  <c r="H30" i="8"/>
  <c r="I30" i="8"/>
  <c r="J30" i="8"/>
  <c r="G16" i="8"/>
  <c r="H16" i="8"/>
  <c r="I16" i="8"/>
  <c r="J16" i="8"/>
  <c r="G23" i="8"/>
  <c r="H23" i="8"/>
  <c r="I23" i="8"/>
  <c r="J23" i="8"/>
  <c r="F45" i="8"/>
  <c r="F30" i="8"/>
  <c r="F23" i="8"/>
  <c r="F16" i="8"/>
  <c r="G9" i="8"/>
  <c r="H9" i="8"/>
  <c r="I9" i="8"/>
  <c r="J9" i="8"/>
  <c r="F9" i="8"/>
  <c r="O11" i="12"/>
  <c r="H20" i="17" l="1"/>
  <c r="H22" i="17" s="1"/>
  <c r="D20" i="17"/>
  <c r="E14" i="17"/>
  <c r="G20" i="17"/>
  <c r="G14" i="17"/>
  <c r="F20" i="17"/>
  <c r="C14" i="17"/>
  <c r="D14" i="17"/>
  <c r="D22" i="17" s="1"/>
  <c r="E20" i="17"/>
  <c r="D34" i="17"/>
  <c r="F14" i="17"/>
  <c r="C20" i="17"/>
  <c r="P22" i="19"/>
  <c r="Q24" i="19"/>
  <c r="Q30" i="19" s="1"/>
  <c r="Q82" i="19" s="1"/>
  <c r="C31" i="17"/>
  <c r="G31" i="17"/>
  <c r="F31" i="17"/>
  <c r="E31" i="17"/>
  <c r="W79" i="12"/>
  <c r="W80" i="19"/>
  <c r="V79" i="12"/>
  <c r="V80" i="19"/>
  <c r="T79" i="12"/>
  <c r="T80" i="19"/>
  <c r="U79" i="12"/>
  <c r="U80" i="19"/>
  <c r="T80" i="12"/>
  <c r="T81" i="19"/>
  <c r="T81" i="12"/>
  <c r="T31" i="12" s="1"/>
  <c r="T82" i="19"/>
  <c r="T30" i="19" s="1"/>
  <c r="U80" i="12"/>
  <c r="U81" i="19"/>
  <c r="U81" i="12"/>
  <c r="U31" i="12" s="1"/>
  <c r="U82" i="19"/>
  <c r="U30" i="19" s="1"/>
  <c r="W80" i="12"/>
  <c r="W81" i="19"/>
  <c r="W81" i="12"/>
  <c r="W31" i="12" s="1"/>
  <c r="W82" i="19"/>
  <c r="W30" i="19" s="1"/>
  <c r="N79" i="12"/>
  <c r="R79" i="12" s="1"/>
  <c r="V80" i="12"/>
  <c r="V81" i="19"/>
  <c r="V81" i="12"/>
  <c r="V31" i="12" s="1"/>
  <c r="V82" i="19"/>
  <c r="V30" i="19" s="1"/>
  <c r="X79" i="12"/>
  <c r="X80" i="19"/>
  <c r="X80" i="12"/>
  <c r="X81" i="19"/>
  <c r="X81" i="12"/>
  <c r="X31" i="12" s="1"/>
  <c r="X82" i="19"/>
  <c r="X30" i="19" s="1"/>
  <c r="P25" i="19"/>
  <c r="P31" i="19"/>
  <c r="P34" i="19" s="1"/>
  <c r="P53" i="19"/>
  <c r="P56" i="19" s="1"/>
  <c r="X78" i="12"/>
  <c r="X79" i="19"/>
  <c r="W78" i="12"/>
  <c r="W79" i="19"/>
  <c r="V78" i="12"/>
  <c r="V79" i="19"/>
  <c r="U78" i="12"/>
  <c r="U79" i="19"/>
  <c r="T78" i="12"/>
  <c r="T79" i="19"/>
  <c r="X77" i="12"/>
  <c r="X78" i="19"/>
  <c r="W77" i="12"/>
  <c r="W78" i="19"/>
  <c r="V77" i="12"/>
  <c r="V78" i="19"/>
  <c r="U77" i="12"/>
  <c r="U78" i="19"/>
  <c r="T77" i="12"/>
  <c r="T78" i="19"/>
  <c r="X76" i="12"/>
  <c r="X77" i="19"/>
  <c r="W76" i="12"/>
  <c r="W77" i="19"/>
  <c r="V76" i="12"/>
  <c r="V77" i="19"/>
  <c r="U76" i="12"/>
  <c r="U77" i="19"/>
  <c r="T76" i="12"/>
  <c r="T77" i="19"/>
  <c r="V75" i="12"/>
  <c r="V12" i="12" s="1"/>
  <c r="V76" i="19"/>
  <c r="V12" i="19" s="1"/>
  <c r="X75" i="12"/>
  <c r="X12" i="12" s="1"/>
  <c r="X76" i="19"/>
  <c r="X12" i="19" s="1"/>
  <c r="W75" i="12"/>
  <c r="W12" i="12" s="1"/>
  <c r="W76" i="19"/>
  <c r="W12" i="19" s="1"/>
  <c r="U75" i="12"/>
  <c r="U12" i="12" s="1"/>
  <c r="U76" i="19"/>
  <c r="U12" i="19" s="1"/>
  <c r="T75" i="12"/>
  <c r="T12" i="12" s="1"/>
  <c r="T76" i="19"/>
  <c r="P57" i="19"/>
  <c r="P60" i="19"/>
  <c r="P61" i="19" s="1"/>
  <c r="K17" i="19"/>
  <c r="K48" i="19"/>
  <c r="K50" i="19" s="1"/>
  <c r="K51" i="19" s="1"/>
  <c r="K21" i="19"/>
  <c r="N48" i="19"/>
  <c r="N50" i="19" s="1"/>
  <c r="N21" i="19"/>
  <c r="N17" i="19"/>
  <c r="O16" i="19"/>
  <c r="J22" i="19"/>
  <c r="J24" i="19"/>
  <c r="L17" i="19"/>
  <c r="L48" i="19"/>
  <c r="L50" i="19" s="1"/>
  <c r="L51" i="19" s="1"/>
  <c r="L21" i="19"/>
  <c r="M48" i="19"/>
  <c r="M50" i="19" s="1"/>
  <c r="M51" i="19" s="1"/>
  <c r="M21" i="19"/>
  <c r="M17" i="19"/>
  <c r="Q25" i="19"/>
  <c r="Q31" i="19"/>
  <c r="Q34" i="19" s="1"/>
  <c r="Q53" i="19"/>
  <c r="Q56" i="19" s="1"/>
  <c r="R21" i="19"/>
  <c r="R48" i="19"/>
  <c r="R50" i="19" s="1"/>
  <c r="R51" i="19" s="1"/>
  <c r="R17" i="19"/>
  <c r="D31" i="17"/>
  <c r="F34" i="17"/>
  <c r="C34" i="17"/>
  <c r="C36" i="17"/>
  <c r="F36" i="17"/>
  <c r="F35" i="17"/>
  <c r="D35" i="17"/>
  <c r="G35" i="17"/>
  <c r="C29" i="17"/>
  <c r="C35" i="17"/>
  <c r="E35" i="17"/>
  <c r="G29" i="17"/>
  <c r="F29" i="17"/>
  <c r="G36" i="17"/>
  <c r="G34" i="17"/>
  <c r="E29" i="17"/>
  <c r="D29" i="17"/>
  <c r="E36" i="17"/>
  <c r="E34" i="17"/>
  <c r="D36" i="17"/>
  <c r="J15" i="18"/>
  <c r="J16" i="18"/>
  <c r="L15" i="18"/>
  <c r="I22" i="18" s="1"/>
  <c r="L16" i="18"/>
  <c r="M37" i="8"/>
  <c r="L37" i="8"/>
  <c r="L52" i="8"/>
  <c r="C22" i="17" l="1"/>
  <c r="C23" i="17" s="1"/>
  <c r="J82" i="12" s="1"/>
  <c r="D23" i="17"/>
  <c r="K82" i="12" s="1"/>
  <c r="D25" i="17"/>
  <c r="G22" i="17"/>
  <c r="N39" i="19" s="1"/>
  <c r="F22" i="17"/>
  <c r="M40" i="12" s="1"/>
  <c r="E22" i="17"/>
  <c r="L40" i="12" s="1"/>
  <c r="J96" i="19"/>
  <c r="J111" i="19"/>
  <c r="K40" i="12"/>
  <c r="K39" i="19"/>
  <c r="P63" i="19"/>
  <c r="P32" i="19"/>
  <c r="T12" i="19"/>
  <c r="T11" i="19"/>
  <c r="N22" i="19"/>
  <c r="O21" i="19"/>
  <c r="N24" i="19"/>
  <c r="J31" i="19"/>
  <c r="J30" i="19"/>
  <c r="J82" i="19" s="1"/>
  <c r="J53" i="19"/>
  <c r="J56" i="19" s="1"/>
  <c r="J25" i="19"/>
  <c r="J112" i="19" s="1"/>
  <c r="N51" i="19"/>
  <c r="O50" i="19"/>
  <c r="R22" i="19"/>
  <c r="R24" i="19"/>
  <c r="L22" i="19"/>
  <c r="L24" i="19"/>
  <c r="Q63" i="19"/>
  <c r="Q32" i="19"/>
  <c r="K24" i="19"/>
  <c r="K22" i="19"/>
  <c r="M22" i="19"/>
  <c r="M24" i="19"/>
  <c r="Q57" i="19"/>
  <c r="Q60" i="19"/>
  <c r="Q61" i="19" s="1"/>
  <c r="N37" i="8"/>
  <c r="O37" i="8"/>
  <c r="M52" i="8"/>
  <c r="O52" i="8"/>
  <c r="N52" i="8"/>
  <c r="N40" i="12" l="1"/>
  <c r="G23" i="17"/>
  <c r="N82" i="12" s="1"/>
  <c r="M39" i="19"/>
  <c r="L39" i="19"/>
  <c r="G25" i="17"/>
  <c r="E23" i="17"/>
  <c r="L82" i="12" s="1"/>
  <c r="E25" i="17"/>
  <c r="F23" i="17"/>
  <c r="M82" i="12" s="1"/>
  <c r="F25" i="17"/>
  <c r="K96" i="19"/>
  <c r="K111" i="19"/>
  <c r="N96" i="19"/>
  <c r="N111" i="19"/>
  <c r="M96" i="19"/>
  <c r="M111" i="19"/>
  <c r="O96" i="19"/>
  <c r="O111" i="19"/>
  <c r="L96" i="19"/>
  <c r="L111" i="19"/>
  <c r="P68" i="19"/>
  <c r="P71" i="19" s="1"/>
  <c r="P69" i="19"/>
  <c r="T27" i="19"/>
  <c r="U11" i="19"/>
  <c r="T23" i="19"/>
  <c r="T37" i="19" s="1"/>
  <c r="T20" i="19"/>
  <c r="T15" i="19"/>
  <c r="T16" i="19" s="1"/>
  <c r="T38" i="19"/>
  <c r="T14" i="19"/>
  <c r="C71" i="19"/>
  <c r="D41" i="19"/>
  <c r="T18" i="19"/>
  <c r="J32" i="19"/>
  <c r="J113" i="19" s="1"/>
  <c r="J41" i="19"/>
  <c r="J34" i="19"/>
  <c r="J126" i="19" s="1"/>
  <c r="J132" i="19" s="1"/>
  <c r="J63" i="19"/>
  <c r="R31" i="19"/>
  <c r="R53" i="19"/>
  <c r="R56" i="19" s="1"/>
  <c r="R25" i="19"/>
  <c r="O112" i="19" s="1"/>
  <c r="R30" i="19"/>
  <c r="R82" i="19" s="1"/>
  <c r="N53" i="19"/>
  <c r="N56" i="19" s="1"/>
  <c r="O24" i="19"/>
  <c r="N25" i="19"/>
  <c r="N112" i="19" s="1"/>
  <c r="N30" i="19"/>
  <c r="N82" i="19" s="1"/>
  <c r="N31" i="19"/>
  <c r="K53" i="19"/>
  <c r="K56" i="19" s="1"/>
  <c r="K25" i="19"/>
  <c r="K112" i="19" s="1"/>
  <c r="K31" i="19"/>
  <c r="K30" i="19"/>
  <c r="K82" i="19" s="1"/>
  <c r="J60" i="19"/>
  <c r="J57" i="19"/>
  <c r="Q68" i="19"/>
  <c r="Q71" i="19" s="1"/>
  <c r="Q69" i="19"/>
  <c r="M53" i="19"/>
  <c r="M56" i="19" s="1"/>
  <c r="M31" i="19"/>
  <c r="M25" i="19"/>
  <c r="M112" i="19" s="1"/>
  <c r="M30" i="19"/>
  <c r="M82" i="19" s="1"/>
  <c r="L53" i="19"/>
  <c r="L56" i="19" s="1"/>
  <c r="L30" i="19"/>
  <c r="L82" i="19" s="1"/>
  <c r="L31" i="19"/>
  <c r="L25" i="19"/>
  <c r="L112" i="19" s="1"/>
  <c r="J61" i="19" l="1"/>
  <c r="T17" i="19"/>
  <c r="T13" i="19"/>
  <c r="T21" i="19"/>
  <c r="U14" i="19"/>
  <c r="U18" i="19"/>
  <c r="U38" i="19"/>
  <c r="E41" i="19"/>
  <c r="U27" i="19"/>
  <c r="U15" i="19"/>
  <c r="U16" i="19" s="1"/>
  <c r="C72" i="19"/>
  <c r="V11" i="19"/>
  <c r="U20" i="19"/>
  <c r="U23" i="19"/>
  <c r="U37" i="19" s="1"/>
  <c r="M57" i="19"/>
  <c r="M60" i="19"/>
  <c r="N63" i="19"/>
  <c r="N32" i="19"/>
  <c r="N113" i="19" s="1"/>
  <c r="N41" i="19"/>
  <c r="C49" i="19" s="1"/>
  <c r="C48" i="19" s="1"/>
  <c r="N34" i="19"/>
  <c r="O31" i="19"/>
  <c r="R63" i="19"/>
  <c r="R32" i="19"/>
  <c r="O113" i="19" s="1"/>
  <c r="L63" i="19"/>
  <c r="L41" i="19"/>
  <c r="L34" i="19"/>
  <c r="L126" i="19" s="1"/>
  <c r="L132" i="19" s="1"/>
  <c r="L32" i="19"/>
  <c r="L113" i="19" s="1"/>
  <c r="L60" i="19"/>
  <c r="L57" i="19"/>
  <c r="J69" i="19"/>
  <c r="J68" i="19"/>
  <c r="N57" i="19"/>
  <c r="O56" i="19"/>
  <c r="N60" i="19"/>
  <c r="K32" i="19"/>
  <c r="K113" i="19" s="1"/>
  <c r="K63" i="19"/>
  <c r="K41" i="19"/>
  <c r="K34" i="19"/>
  <c r="K126" i="19" s="1"/>
  <c r="K132" i="19" s="1"/>
  <c r="M41" i="19"/>
  <c r="M63" i="19"/>
  <c r="M34" i="19"/>
  <c r="M126" i="19" s="1"/>
  <c r="M132" i="19" s="1"/>
  <c r="M32" i="19"/>
  <c r="M113" i="19" s="1"/>
  <c r="K57" i="19"/>
  <c r="K60" i="19"/>
  <c r="F63" i="19"/>
  <c r="R60" i="19"/>
  <c r="R57" i="19"/>
  <c r="C45" i="19"/>
  <c r="O34" i="19" l="1"/>
  <c r="N126" i="19"/>
  <c r="N132" i="19" s="1"/>
  <c r="R34" i="19"/>
  <c r="O126" i="19" s="1"/>
  <c r="O132" i="19" s="1"/>
  <c r="J71" i="19"/>
  <c r="K61" i="19"/>
  <c r="L61" i="19"/>
  <c r="M61" i="19"/>
  <c r="V15" i="19"/>
  <c r="V16" i="19" s="1"/>
  <c r="V14" i="19"/>
  <c r="W11" i="19"/>
  <c r="V27" i="19"/>
  <c r="V18" i="19"/>
  <c r="F41" i="19"/>
  <c r="V38" i="19"/>
  <c r="V23" i="19"/>
  <c r="V37" i="19" s="1"/>
  <c r="V20" i="19"/>
  <c r="D43" i="19"/>
  <c r="T24" i="19"/>
  <c r="T22" i="19"/>
  <c r="P111" i="19" s="1"/>
  <c r="D71" i="19"/>
  <c r="U21" i="19"/>
  <c r="U17" i="19"/>
  <c r="U13" i="19"/>
  <c r="E68" i="19"/>
  <c r="E69" i="19"/>
  <c r="M69" i="19"/>
  <c r="M68" i="19"/>
  <c r="R69" i="19"/>
  <c r="R68" i="19"/>
  <c r="K69" i="19"/>
  <c r="K68" i="19"/>
  <c r="D68" i="19"/>
  <c r="N61" i="19"/>
  <c r="O60" i="19"/>
  <c r="O100" i="19" s="1"/>
  <c r="D69" i="19"/>
  <c r="N68" i="19"/>
  <c r="N69" i="19"/>
  <c r="F62" i="19"/>
  <c r="C43" i="19"/>
  <c r="R61" i="19"/>
  <c r="F61" i="19"/>
  <c r="L69" i="19"/>
  <c r="L68" i="19"/>
  <c r="L71" i="19" l="1"/>
  <c r="M71" i="19"/>
  <c r="K71" i="19"/>
  <c r="D72" i="19"/>
  <c r="U22" i="19"/>
  <c r="Q111" i="19" s="1"/>
  <c r="E43" i="19"/>
  <c r="U24" i="19"/>
  <c r="T29" i="19"/>
  <c r="T31" i="19" s="1"/>
  <c r="D45" i="19"/>
  <c r="T25" i="19"/>
  <c r="P112" i="19" s="1"/>
  <c r="W14" i="19"/>
  <c r="W27" i="19"/>
  <c r="W20" i="19"/>
  <c r="X11" i="19"/>
  <c r="W15" i="19"/>
  <c r="W16" i="19" s="1"/>
  <c r="W23" i="19"/>
  <c r="W37" i="19" s="1"/>
  <c r="W18" i="19"/>
  <c r="W38" i="19"/>
  <c r="V17" i="19"/>
  <c r="V13" i="19"/>
  <c r="V21" i="19"/>
  <c r="N71" i="19"/>
  <c r="R71" i="19" s="1"/>
  <c r="C47" i="19" s="1"/>
  <c r="C46" i="19" s="1"/>
  <c r="O68" i="19"/>
  <c r="T32" i="19" l="1"/>
  <c r="P113" i="19" s="1"/>
  <c r="T34" i="19"/>
  <c r="D47" i="19"/>
  <c r="D46" i="19" s="1"/>
  <c r="X14" i="19"/>
  <c r="X23" i="19"/>
  <c r="X37" i="19" s="1"/>
  <c r="X15" i="19"/>
  <c r="X16" i="19" s="1"/>
  <c r="X38" i="19"/>
  <c r="X20" i="19"/>
  <c r="Y11" i="19"/>
  <c r="X18" i="19"/>
  <c r="X27" i="19"/>
  <c r="W21" i="19"/>
  <c r="W17" i="19"/>
  <c r="W13" i="19"/>
  <c r="E45" i="19"/>
  <c r="U25" i="19"/>
  <c r="Q112" i="19" s="1"/>
  <c r="U29" i="19"/>
  <c r="U31" i="19" s="1"/>
  <c r="V22" i="19"/>
  <c r="R111" i="19" s="1"/>
  <c r="V24" i="19"/>
  <c r="F43" i="19"/>
  <c r="F68" i="19"/>
  <c r="F69" i="19"/>
  <c r="F71" i="19" l="1"/>
  <c r="P126" i="19"/>
  <c r="P132" i="19" s="1"/>
  <c r="U32" i="19"/>
  <c r="Q113" i="19" s="1"/>
  <c r="Y16" i="19"/>
  <c r="X21" i="19"/>
  <c r="X17" i="19"/>
  <c r="F45" i="19"/>
  <c r="V25" i="19"/>
  <c r="R112" i="19" s="1"/>
  <c r="V29" i="19"/>
  <c r="V31" i="19" s="1"/>
  <c r="U34" i="19"/>
  <c r="E47" i="19"/>
  <c r="E46" i="19" s="1"/>
  <c r="W22" i="19"/>
  <c r="T111" i="19" s="1"/>
  <c r="W24" i="19"/>
  <c r="X13" i="19"/>
  <c r="F24" i="12"/>
  <c r="F23" i="12"/>
  <c r="F21" i="12"/>
  <c r="E21" i="12"/>
  <c r="F5" i="14"/>
  <c r="F7" i="14" s="1"/>
  <c r="F9" i="14" s="1"/>
  <c r="K50" i="15"/>
  <c r="L50" i="15" s="1"/>
  <c r="M50" i="15" s="1"/>
  <c r="K49" i="15"/>
  <c r="L49" i="15" s="1"/>
  <c r="M49" i="15" s="1"/>
  <c r="N49" i="15" s="1"/>
  <c r="O49" i="15" s="1"/>
  <c r="K48" i="15"/>
  <c r="L48" i="15" s="1"/>
  <c r="M48" i="15" s="1"/>
  <c r="N48" i="15" s="1"/>
  <c r="O48" i="15" s="1"/>
  <c r="K47" i="15"/>
  <c r="L47" i="15" s="1"/>
  <c r="M47" i="15" s="1"/>
  <c r="N47" i="15" s="1"/>
  <c r="O47" i="15" s="1"/>
  <c r="K46" i="15"/>
  <c r="K43" i="15"/>
  <c r="K42" i="15"/>
  <c r="L42" i="15" s="1"/>
  <c r="M42" i="15" s="1"/>
  <c r="N42" i="15" s="1"/>
  <c r="O42" i="15" s="1"/>
  <c r="K41" i="15"/>
  <c r="L41" i="15" s="1"/>
  <c r="M41" i="15" s="1"/>
  <c r="N41" i="15" s="1"/>
  <c r="O41" i="15" s="1"/>
  <c r="K40" i="15"/>
  <c r="L40" i="15" s="1"/>
  <c r="M40" i="15" s="1"/>
  <c r="N40" i="15" s="1"/>
  <c r="O40" i="15" s="1"/>
  <c r="K39" i="15"/>
  <c r="K36" i="15"/>
  <c r="L36" i="15" s="1"/>
  <c r="K35" i="15"/>
  <c r="L35" i="15" s="1"/>
  <c r="M35" i="15" s="1"/>
  <c r="N35" i="15" s="1"/>
  <c r="O35" i="15" s="1"/>
  <c r="K34" i="15"/>
  <c r="K33" i="15"/>
  <c r="L33" i="15" s="1"/>
  <c r="M33" i="15" s="1"/>
  <c r="N33" i="15" s="1"/>
  <c r="O33" i="15" s="1"/>
  <c r="K32" i="15"/>
  <c r="L32" i="15" s="1"/>
  <c r="M32" i="15" s="1"/>
  <c r="N32" i="15" s="1"/>
  <c r="O32" i="15" s="1"/>
  <c r="K28" i="15"/>
  <c r="L28" i="15" s="1"/>
  <c r="K27" i="15"/>
  <c r="L27" i="15" s="1"/>
  <c r="M27" i="15" s="1"/>
  <c r="N27" i="15" s="1"/>
  <c r="O27" i="15" s="1"/>
  <c r="K26" i="15"/>
  <c r="K25" i="15"/>
  <c r="L25" i="15" s="1"/>
  <c r="M25" i="15" s="1"/>
  <c r="N25" i="15" s="1"/>
  <c r="O25" i="15" s="1"/>
  <c r="K24" i="15"/>
  <c r="L24" i="15" s="1"/>
  <c r="M24" i="15" s="1"/>
  <c r="N24" i="15" s="1"/>
  <c r="O24" i="15" s="1"/>
  <c r="K21" i="15"/>
  <c r="L21" i="15" s="1"/>
  <c r="K20" i="15"/>
  <c r="L20" i="15" s="1"/>
  <c r="M20" i="15" s="1"/>
  <c r="N20" i="15" s="1"/>
  <c r="O20" i="15" s="1"/>
  <c r="K19" i="15"/>
  <c r="K18" i="15"/>
  <c r="L18" i="15" s="1"/>
  <c r="M18" i="15" s="1"/>
  <c r="N18" i="15" s="1"/>
  <c r="O18" i="15" s="1"/>
  <c r="K17" i="15"/>
  <c r="L17" i="15" s="1"/>
  <c r="M17" i="15" s="1"/>
  <c r="N17" i="15" s="1"/>
  <c r="O17" i="15" s="1"/>
  <c r="K14" i="15"/>
  <c r="L14" i="15" s="1"/>
  <c r="K13" i="15"/>
  <c r="L13" i="15" s="1"/>
  <c r="M13" i="15" s="1"/>
  <c r="N13" i="15" s="1"/>
  <c r="O13" i="15" s="1"/>
  <c r="K12" i="15"/>
  <c r="K11" i="15"/>
  <c r="L11" i="15" s="1"/>
  <c r="M11" i="15" s="1"/>
  <c r="N11" i="15" s="1"/>
  <c r="O11" i="15" s="1"/>
  <c r="K10" i="15"/>
  <c r="L10" i="15" s="1"/>
  <c r="M10" i="15" s="1"/>
  <c r="N10" i="15" s="1"/>
  <c r="O10" i="15" s="1"/>
  <c r="K6" i="15"/>
  <c r="L6" i="15" s="1"/>
  <c r="M6" i="15" s="1"/>
  <c r="N6" i="15" s="1"/>
  <c r="O6" i="15" s="1"/>
  <c r="R50" i="12"/>
  <c r="R61" i="12"/>
  <c r="P75" i="12"/>
  <c r="R75" i="12"/>
  <c r="P76" i="12"/>
  <c r="Q76" i="12"/>
  <c r="P77" i="12"/>
  <c r="Q77" i="12"/>
  <c r="P78" i="12"/>
  <c r="Q78" i="12"/>
  <c r="R28" i="12"/>
  <c r="R25" i="12"/>
  <c r="R22" i="12"/>
  <c r="Q12" i="12"/>
  <c r="Q75" i="12" s="1"/>
  <c r="Q16" i="12"/>
  <c r="Q17" i="12" s="1"/>
  <c r="P16" i="12"/>
  <c r="P20" i="12" s="1"/>
  <c r="K78" i="12"/>
  <c r="L78" i="12"/>
  <c r="M78" i="12"/>
  <c r="N78" i="12"/>
  <c r="J78" i="12"/>
  <c r="J75" i="12"/>
  <c r="K77" i="12"/>
  <c r="L77" i="12"/>
  <c r="M77" i="12"/>
  <c r="N77" i="12"/>
  <c r="L12" i="12"/>
  <c r="L75" i="12" s="1"/>
  <c r="M12" i="12"/>
  <c r="M75" i="12" s="1"/>
  <c r="N12" i="12"/>
  <c r="N75" i="12" s="1"/>
  <c r="K12" i="12"/>
  <c r="K75" i="12" s="1"/>
  <c r="K15" i="12" a="1"/>
  <c r="K15" i="12" s="1"/>
  <c r="L15" i="12" a="1"/>
  <c r="L15" i="12" s="1"/>
  <c r="M15" i="12" a="1"/>
  <c r="M15" i="12" s="1"/>
  <c r="N15" i="12" a="1"/>
  <c r="N15" i="12" s="1"/>
  <c r="J15" i="12" a="1"/>
  <c r="J15" i="12" s="1"/>
  <c r="K50" i="8"/>
  <c r="K49" i="8"/>
  <c r="L49" i="8" s="1"/>
  <c r="M49" i="8" s="1"/>
  <c r="N49" i="8" s="1"/>
  <c r="O49" i="8" s="1"/>
  <c r="K47" i="8"/>
  <c r="L47" i="8" s="1"/>
  <c r="M47" i="8" s="1"/>
  <c r="N47" i="8" s="1"/>
  <c r="O47" i="8" s="1"/>
  <c r="K46" i="8"/>
  <c r="K45" i="8" s="1"/>
  <c r="K35" i="8"/>
  <c r="L35" i="8" s="1"/>
  <c r="M35" i="8" s="1"/>
  <c r="K34" i="8"/>
  <c r="L34" i="8" s="1"/>
  <c r="M34" i="8" s="1"/>
  <c r="N34" i="8" s="1"/>
  <c r="O34" i="8" s="1"/>
  <c r="K33" i="8"/>
  <c r="L33" i="8" s="1"/>
  <c r="M33" i="8" s="1"/>
  <c r="N33" i="8" s="1"/>
  <c r="O33" i="8" s="1"/>
  <c r="K32" i="8"/>
  <c r="L32" i="8" s="1"/>
  <c r="M32" i="8" s="1"/>
  <c r="N32" i="8" s="1"/>
  <c r="O32" i="8" s="1"/>
  <c r="K31" i="8"/>
  <c r="K28" i="8"/>
  <c r="L28" i="8" s="1"/>
  <c r="K27" i="8"/>
  <c r="L27" i="8" s="1"/>
  <c r="M27" i="8" s="1"/>
  <c r="N27" i="8" s="1"/>
  <c r="O27" i="8" s="1"/>
  <c r="K26" i="8"/>
  <c r="L26" i="8" s="1"/>
  <c r="M26" i="8" s="1"/>
  <c r="N26" i="8" s="1"/>
  <c r="O26" i="8" s="1"/>
  <c r="K25" i="8"/>
  <c r="L25" i="8" s="1"/>
  <c r="M25" i="8" s="1"/>
  <c r="N25" i="8" s="1"/>
  <c r="O25" i="8" s="1"/>
  <c r="K24" i="8"/>
  <c r="K21" i="8"/>
  <c r="L21" i="8" s="1"/>
  <c r="K20" i="8"/>
  <c r="L20" i="8" s="1"/>
  <c r="M20" i="8" s="1"/>
  <c r="N20" i="8" s="1"/>
  <c r="O20" i="8" s="1"/>
  <c r="K18" i="8"/>
  <c r="L18" i="8" s="1"/>
  <c r="M18" i="8" s="1"/>
  <c r="N18" i="8" s="1"/>
  <c r="O18" i="8" s="1"/>
  <c r="K17" i="8"/>
  <c r="K14" i="8"/>
  <c r="L14" i="8" s="1"/>
  <c r="M14" i="8" s="1"/>
  <c r="N14" i="8" s="1"/>
  <c r="K13" i="8"/>
  <c r="L13" i="8" s="1"/>
  <c r="M13" i="8" s="1"/>
  <c r="N13" i="8" s="1"/>
  <c r="O13" i="8" s="1"/>
  <c r="K12" i="8"/>
  <c r="L12" i="8" s="1"/>
  <c r="M12" i="8" s="1"/>
  <c r="N12" i="8" s="1"/>
  <c r="O12" i="8" s="1"/>
  <c r="K11" i="8"/>
  <c r="L11" i="8" s="1"/>
  <c r="M11" i="8" s="1"/>
  <c r="N11" i="8" s="1"/>
  <c r="O11" i="8" s="1"/>
  <c r="K10" i="8"/>
  <c r="K6" i="8"/>
  <c r="L6" i="8" s="1"/>
  <c r="M6" i="8" s="1"/>
  <c r="N6" i="8" s="1"/>
  <c r="O6" i="8" s="1"/>
  <c r="L46" i="15" l="1"/>
  <c r="K45" i="15"/>
  <c r="L39" i="15"/>
  <c r="K38" i="15"/>
  <c r="D8" i="11"/>
  <c r="CD8" i="11" s="1"/>
  <c r="R60" i="12"/>
  <c r="H7" i="17"/>
  <c r="J8" i="11"/>
  <c r="F28" i="12"/>
  <c r="F72" i="19"/>
  <c r="Q126" i="19"/>
  <c r="Q132" i="19" s="1"/>
  <c r="V32" i="19"/>
  <c r="R113" i="19" s="1"/>
  <c r="F47" i="19"/>
  <c r="F46" i="19" s="1"/>
  <c r="V34" i="19"/>
  <c r="R126" i="19" s="1"/>
  <c r="R132" i="19" s="1"/>
  <c r="W25" i="19"/>
  <c r="T112" i="19" s="1"/>
  <c r="W29" i="19"/>
  <c r="W31" i="19" s="1"/>
  <c r="X22" i="19"/>
  <c r="U111" i="19" s="1"/>
  <c r="Y21" i="19"/>
  <c r="X24" i="19"/>
  <c r="AF11" i="19"/>
  <c r="AF15" i="19" s="1"/>
  <c r="T11" i="12"/>
  <c r="C40" i="12"/>
  <c r="N16" i="12"/>
  <c r="N17" i="12" s="1"/>
  <c r="G8" i="17"/>
  <c r="G30" i="17" s="1"/>
  <c r="M16" i="12"/>
  <c r="M17" i="12" s="1"/>
  <c r="F8" i="17"/>
  <c r="F30" i="17" s="1"/>
  <c r="L16" i="12"/>
  <c r="L17" i="12" s="1"/>
  <c r="E8" i="17"/>
  <c r="E30" i="17" s="1"/>
  <c r="K16" i="12"/>
  <c r="K17" i="12" s="1"/>
  <c r="D8" i="17"/>
  <c r="D30" i="17" s="1"/>
  <c r="J16" i="12"/>
  <c r="J17" i="12" s="1"/>
  <c r="C8" i="17"/>
  <c r="C30" i="17" s="1"/>
  <c r="L26" i="15"/>
  <c r="K23" i="15"/>
  <c r="L19" i="15"/>
  <c r="K16" i="15"/>
  <c r="L34" i="15"/>
  <c r="K31" i="15"/>
  <c r="L12" i="15"/>
  <c r="K9" i="15"/>
  <c r="L24" i="8"/>
  <c r="K23" i="8"/>
  <c r="L17" i="8"/>
  <c r="K16" i="8"/>
  <c r="L46" i="8"/>
  <c r="L31" i="8"/>
  <c r="K30" i="8"/>
  <c r="L10" i="8"/>
  <c r="K9" i="8"/>
  <c r="F22" i="12"/>
  <c r="E8" i="11" s="1"/>
  <c r="F54" i="12"/>
  <c r="M14" i="15"/>
  <c r="M28" i="15"/>
  <c r="M36" i="15"/>
  <c r="N50" i="15"/>
  <c r="L43" i="15"/>
  <c r="M21" i="15"/>
  <c r="P49" i="12"/>
  <c r="Q49" i="12"/>
  <c r="R78" i="12"/>
  <c r="R15" i="12"/>
  <c r="R19" i="12"/>
  <c r="R77" i="12" s="1"/>
  <c r="P23" i="12"/>
  <c r="P21" i="12"/>
  <c r="Q20" i="12"/>
  <c r="P17" i="12"/>
  <c r="N76" i="12"/>
  <c r="M76" i="12"/>
  <c r="L76" i="12"/>
  <c r="J76" i="12"/>
  <c r="K76" i="12"/>
  <c r="O14" i="8"/>
  <c r="M28" i="8"/>
  <c r="N35" i="8"/>
  <c r="M21" i="8"/>
  <c r="L50" i="8"/>
  <c r="M39" i="15" l="1"/>
  <c r="L38" i="15"/>
  <c r="AW8" i="11"/>
  <c r="M46" i="15"/>
  <c r="L45" i="15"/>
  <c r="P29" i="12"/>
  <c r="P32" i="12" s="1"/>
  <c r="I6" i="13" s="1"/>
  <c r="I23" i="13" s="1"/>
  <c r="I40" i="13" s="1"/>
  <c r="I43" i="13" s="1"/>
  <c r="T19" i="12"/>
  <c r="R76" i="12"/>
  <c r="H8" i="17"/>
  <c r="H30" i="17" s="1"/>
  <c r="H36" i="17"/>
  <c r="H34" i="17"/>
  <c r="H31" i="17"/>
  <c r="H29" i="17"/>
  <c r="H35" i="17"/>
  <c r="H23" i="17"/>
  <c r="R82" i="12" s="1"/>
  <c r="C47" i="12"/>
  <c r="F8" i="11"/>
  <c r="O16" i="12"/>
  <c r="T15" i="12"/>
  <c r="J8" i="17" s="1"/>
  <c r="J12" i="17" s="1"/>
  <c r="W34" i="19"/>
  <c r="T126" i="19" s="1"/>
  <c r="W32" i="19"/>
  <c r="T113" i="19" s="1"/>
  <c r="J49" i="12"/>
  <c r="J51" i="12" s="1"/>
  <c r="J52" i="12" s="1"/>
  <c r="X29" i="19"/>
  <c r="X31" i="19" s="1"/>
  <c r="Y24" i="19"/>
  <c r="X25" i="19"/>
  <c r="U112" i="19" s="1"/>
  <c r="AF42" i="19"/>
  <c r="J7" i="17"/>
  <c r="J19" i="17" s="1"/>
  <c r="J30" i="2" s="1"/>
  <c r="T39" i="12"/>
  <c r="L26" i="13" s="1" a="1"/>
  <c r="L26" i="13" s="1"/>
  <c r="J18" i="2" s="1"/>
  <c r="T22" i="12"/>
  <c r="T38" i="12" s="1"/>
  <c r="L9" i="13" s="1"/>
  <c r="U11" i="12"/>
  <c r="T26" i="12"/>
  <c r="D40" i="12"/>
  <c r="C70" i="12"/>
  <c r="AL8" i="11" s="1"/>
  <c r="M20" i="12"/>
  <c r="M49" i="12"/>
  <c r="M51" i="12" s="1"/>
  <c r="M52" i="12" s="1"/>
  <c r="N20" i="12"/>
  <c r="N23" i="12" s="1"/>
  <c r="V8" i="11" s="1"/>
  <c r="N49" i="12"/>
  <c r="N51" i="12" s="1"/>
  <c r="N52" i="12" s="1"/>
  <c r="L20" i="12"/>
  <c r="L21" i="12" s="1"/>
  <c r="L95" i="12" s="1"/>
  <c r="K49" i="12"/>
  <c r="K51" i="12" s="1"/>
  <c r="K52" i="12" s="1"/>
  <c r="K20" i="12"/>
  <c r="K21" i="12" s="1"/>
  <c r="K95" i="12" s="1"/>
  <c r="L49" i="12"/>
  <c r="L51" i="12" s="1"/>
  <c r="L52" i="12" s="1"/>
  <c r="M26" i="15"/>
  <c r="L23" i="15"/>
  <c r="M19" i="15"/>
  <c r="L16" i="15"/>
  <c r="M34" i="15"/>
  <c r="L31" i="15"/>
  <c r="M12" i="15"/>
  <c r="L9" i="15"/>
  <c r="M10" i="8"/>
  <c r="L9" i="8"/>
  <c r="M31" i="8"/>
  <c r="L30" i="8"/>
  <c r="L45" i="8"/>
  <c r="M46" i="8"/>
  <c r="M17" i="8"/>
  <c r="L16" i="8"/>
  <c r="M24" i="8"/>
  <c r="L23" i="8"/>
  <c r="O50" i="15"/>
  <c r="N21" i="15"/>
  <c r="N36" i="15"/>
  <c r="M43" i="15"/>
  <c r="N28" i="15"/>
  <c r="N14" i="15"/>
  <c r="P24" i="12"/>
  <c r="Q51" i="12"/>
  <c r="Q52" i="12" s="1"/>
  <c r="P51" i="12"/>
  <c r="P52" i="12" s="1"/>
  <c r="R16" i="12"/>
  <c r="R49" i="12" s="1"/>
  <c r="R51" i="12" s="1"/>
  <c r="Q23" i="12"/>
  <c r="Q21" i="12"/>
  <c r="N21" i="8"/>
  <c r="O35" i="8"/>
  <c r="M50" i="8"/>
  <c r="N28" i="8"/>
  <c r="N46" i="15" l="1"/>
  <c r="M45" i="15"/>
  <c r="M21" i="12"/>
  <c r="M95" i="12" s="1"/>
  <c r="O8" i="11"/>
  <c r="N39" i="15"/>
  <c r="M38" i="15"/>
  <c r="P54" i="12"/>
  <c r="Q29" i="12"/>
  <c r="Q32" i="12" s="1"/>
  <c r="J6" i="13" s="1"/>
  <c r="J23" i="13" s="1"/>
  <c r="J40" i="13" s="1"/>
  <c r="J43" i="13" s="1"/>
  <c r="N29" i="12"/>
  <c r="U19" i="12"/>
  <c r="L23" i="12"/>
  <c r="R52" i="12"/>
  <c r="N8" i="11"/>
  <c r="T16" i="12"/>
  <c r="T17" i="12" s="1"/>
  <c r="T132" i="19"/>
  <c r="U132" i="19"/>
  <c r="L30" i="13"/>
  <c r="L19" i="13"/>
  <c r="J13" i="2"/>
  <c r="X32" i="19"/>
  <c r="U113" i="19" s="1"/>
  <c r="M23" i="12"/>
  <c r="T8" i="11" s="1"/>
  <c r="O51" i="12"/>
  <c r="V11" i="12"/>
  <c r="U26" i="12"/>
  <c r="K7" i="17"/>
  <c r="K17" i="17" s="1"/>
  <c r="J17" i="17"/>
  <c r="U22" i="12"/>
  <c r="U38" i="12" s="1"/>
  <c r="M9" i="13" s="1"/>
  <c r="U39" i="12"/>
  <c r="M26" i="13" s="1" a="1"/>
  <c r="M26" i="13" s="1"/>
  <c r="M30" i="13" s="1"/>
  <c r="U15" i="12"/>
  <c r="K8" i="17" s="1"/>
  <c r="K12" i="17" s="1"/>
  <c r="J18" i="17"/>
  <c r="J13" i="17"/>
  <c r="X34" i="19"/>
  <c r="U126" i="19" s="1"/>
  <c r="Y31" i="19"/>
  <c r="C71" i="12"/>
  <c r="E40" i="12"/>
  <c r="N21" i="12"/>
  <c r="N95" i="12" s="1"/>
  <c r="K23" i="12"/>
  <c r="N26" i="15"/>
  <c r="M23" i="15"/>
  <c r="N19" i="15"/>
  <c r="M16" i="15"/>
  <c r="N34" i="15"/>
  <c r="M31" i="15"/>
  <c r="N12" i="15"/>
  <c r="M9" i="15"/>
  <c r="N17" i="8"/>
  <c r="M16" i="8"/>
  <c r="N46" i="8"/>
  <c r="M45" i="8"/>
  <c r="N31" i="8"/>
  <c r="M30" i="8"/>
  <c r="N24" i="8"/>
  <c r="M23" i="8"/>
  <c r="N10" i="8"/>
  <c r="M9" i="8"/>
  <c r="O14" i="15"/>
  <c r="N43" i="15"/>
  <c r="O36" i="15"/>
  <c r="O21" i="15"/>
  <c r="O28" i="15"/>
  <c r="P33" i="12"/>
  <c r="Q24" i="12"/>
  <c r="Q56" i="12"/>
  <c r="P56" i="12"/>
  <c r="R20" i="12"/>
  <c r="R17" i="12"/>
  <c r="N24" i="12"/>
  <c r="N96" i="12" s="1"/>
  <c r="O28" i="8"/>
  <c r="N50" i="8"/>
  <c r="O21" i="8"/>
  <c r="O39" i="15" l="1"/>
  <c r="O38" i="15" s="1"/>
  <c r="N38" i="15"/>
  <c r="AF47" i="12"/>
  <c r="O46" i="15"/>
  <c r="O45" i="15" s="1"/>
  <c r="N45" i="15"/>
  <c r="P35" i="12"/>
  <c r="N54" i="12"/>
  <c r="N57" i="12" s="1"/>
  <c r="N62" i="12" s="1"/>
  <c r="N32" i="12"/>
  <c r="Q54" i="12"/>
  <c r="Q57" i="12" s="1"/>
  <c r="L29" i="12"/>
  <c r="K29" i="12"/>
  <c r="M29" i="12"/>
  <c r="L24" i="12"/>
  <c r="L96" i="12" s="1"/>
  <c r="V19" i="12"/>
  <c r="K18" i="2"/>
  <c r="K22" i="2" s="1"/>
  <c r="T20" i="12"/>
  <c r="F40" i="12"/>
  <c r="J22" i="2"/>
  <c r="M21" i="13"/>
  <c r="K29" i="2"/>
  <c r="K13" i="2"/>
  <c r="M19" i="13"/>
  <c r="J29" i="2"/>
  <c r="L21" i="13"/>
  <c r="J32" i="2"/>
  <c r="L22" i="13"/>
  <c r="J14" i="2"/>
  <c r="L20" i="13"/>
  <c r="M24" i="12"/>
  <c r="M96" i="12" s="1"/>
  <c r="V22" i="12"/>
  <c r="V38" i="12" s="1"/>
  <c r="N9" i="13" s="1"/>
  <c r="V26" i="12"/>
  <c r="L7" i="17"/>
  <c r="L17" i="17" s="1"/>
  <c r="V15" i="12"/>
  <c r="L8" i="17" s="1"/>
  <c r="L12" i="17" s="1"/>
  <c r="V39" i="12"/>
  <c r="N26" i="13" s="1" a="1"/>
  <c r="N26" i="13" s="1"/>
  <c r="W11" i="12"/>
  <c r="K13" i="17"/>
  <c r="M20" i="13" s="1"/>
  <c r="K18" i="17"/>
  <c r="K19" i="17"/>
  <c r="K30" i="2" s="1"/>
  <c r="J20" i="17"/>
  <c r="U16" i="12"/>
  <c r="U17" i="12" s="1"/>
  <c r="K24" i="12"/>
  <c r="K96" i="12" s="1"/>
  <c r="O26" i="15"/>
  <c r="O23" i="15" s="1"/>
  <c r="N23" i="15"/>
  <c r="O19" i="15"/>
  <c r="O16" i="15" s="1"/>
  <c r="N16" i="15"/>
  <c r="O34" i="15"/>
  <c r="O31" i="15" s="1"/>
  <c r="N31" i="15"/>
  <c r="O12" i="15"/>
  <c r="O9" i="15" s="1"/>
  <c r="N9" i="15"/>
  <c r="O24" i="8"/>
  <c r="O23" i="8" s="1"/>
  <c r="N23" i="8"/>
  <c r="O31" i="8"/>
  <c r="O30" i="8" s="1"/>
  <c r="N30" i="8"/>
  <c r="O46" i="8"/>
  <c r="O45" i="8" s="1"/>
  <c r="N45" i="8"/>
  <c r="O10" i="8"/>
  <c r="O9" i="8" s="1"/>
  <c r="N9" i="8"/>
  <c r="O17" i="8"/>
  <c r="O16" i="8" s="1"/>
  <c r="N16" i="8"/>
  <c r="P57" i="12"/>
  <c r="P65" i="12" s="1"/>
  <c r="P68" i="12" s="1"/>
  <c r="O43" i="15"/>
  <c r="R56" i="12"/>
  <c r="R21" i="12"/>
  <c r="O95" i="12" s="1"/>
  <c r="R23" i="12"/>
  <c r="O50" i="8"/>
  <c r="N65" i="12" l="1"/>
  <c r="U8" i="11"/>
  <c r="Q35" i="12"/>
  <c r="Q33" i="12"/>
  <c r="K54" i="12"/>
  <c r="K57" i="12" s="1"/>
  <c r="K65" i="12" s="1"/>
  <c r="K32" i="12"/>
  <c r="L54" i="12"/>
  <c r="L57" i="12" s="1"/>
  <c r="L65" i="12" s="1"/>
  <c r="L66" i="12" s="1"/>
  <c r="L32" i="12"/>
  <c r="M54" i="12"/>
  <c r="M57" i="12" s="1"/>
  <c r="M65" i="12" s="1"/>
  <c r="M32" i="12"/>
  <c r="M42" i="12" s="1"/>
  <c r="N42" i="12"/>
  <c r="H6" i="13"/>
  <c r="K6" i="13" s="1"/>
  <c r="K23" i="13" s="1"/>
  <c r="K40" i="13" s="1"/>
  <c r="N35" i="12"/>
  <c r="Q62" i="12"/>
  <c r="Q65" i="12"/>
  <c r="Q68" i="12" s="1"/>
  <c r="N66" i="12"/>
  <c r="P66" i="12"/>
  <c r="P67" i="12" s="1"/>
  <c r="P70" i="12" s="1"/>
  <c r="N33" i="12"/>
  <c r="N97" i="12" s="1"/>
  <c r="P62" i="12"/>
  <c r="P63" i="12" s="1"/>
  <c r="R29" i="12"/>
  <c r="R54" i="12" s="1"/>
  <c r="R57" i="12" s="1"/>
  <c r="F62" i="12" s="1"/>
  <c r="W19" i="12"/>
  <c r="D70" i="12"/>
  <c r="AN8" i="11" s="1"/>
  <c r="L18" i="2"/>
  <c r="L22" i="2" s="1"/>
  <c r="T23" i="12"/>
  <c r="D42" i="12"/>
  <c r="T21" i="12"/>
  <c r="P95" i="12" s="1"/>
  <c r="M7" i="17"/>
  <c r="M13" i="17" s="1"/>
  <c r="N30" i="13"/>
  <c r="M22" i="13"/>
  <c r="L29" i="2"/>
  <c r="N21" i="13"/>
  <c r="L13" i="2"/>
  <c r="N19" i="13"/>
  <c r="K14" i="2"/>
  <c r="K32" i="2"/>
  <c r="K33" i="2" s="1"/>
  <c r="J33" i="2"/>
  <c r="L19" i="17"/>
  <c r="L30" i="2" s="1"/>
  <c r="L13" i="17"/>
  <c r="L18" i="17"/>
  <c r="W26" i="12"/>
  <c r="V16" i="12"/>
  <c r="W39" i="12"/>
  <c r="O26" i="13" s="1" a="1"/>
  <c r="O26" i="13" s="1"/>
  <c r="O30" i="13" s="1"/>
  <c r="X11" i="12"/>
  <c r="W22" i="12"/>
  <c r="W38" i="12" s="1"/>
  <c r="O9" i="13" s="1"/>
  <c r="W15" i="12"/>
  <c r="W16" i="12" s="1"/>
  <c r="K20" i="17"/>
  <c r="U20" i="12"/>
  <c r="N68" i="12"/>
  <c r="N58" i="12"/>
  <c r="P58" i="12"/>
  <c r="Q58" i="12"/>
  <c r="R24" i="12"/>
  <c r="O96" i="12" s="1"/>
  <c r="L58" i="12" l="1"/>
  <c r="K62" i="12"/>
  <c r="K63" i="12" s="1"/>
  <c r="K58" i="12"/>
  <c r="N110" i="12"/>
  <c r="N116" i="12" s="1"/>
  <c r="AB8" i="11"/>
  <c r="R35" i="12"/>
  <c r="AA8" i="11" s="1"/>
  <c r="BX8" i="11" s="1"/>
  <c r="E67" i="12"/>
  <c r="L67" i="12"/>
  <c r="L62" i="12"/>
  <c r="L63" i="12" s="1"/>
  <c r="N67" i="12"/>
  <c r="N70" i="12" s="1"/>
  <c r="M66" i="12"/>
  <c r="M67" i="12" s="1"/>
  <c r="M62" i="12"/>
  <c r="Q8" i="11" s="1"/>
  <c r="M58" i="12"/>
  <c r="K66" i="12"/>
  <c r="K67" i="12" s="1"/>
  <c r="R62" i="12"/>
  <c r="R65" i="12"/>
  <c r="Q66" i="12"/>
  <c r="Q67" i="12" s="1"/>
  <c r="Q70" i="12" s="1"/>
  <c r="M35" i="12"/>
  <c r="M68" i="12"/>
  <c r="G6" i="13"/>
  <c r="M33" i="12"/>
  <c r="M97" i="12" s="1"/>
  <c r="L33" i="12"/>
  <c r="L97" i="12" s="1"/>
  <c r="L35" i="12"/>
  <c r="L110" i="12" s="1"/>
  <c r="L116" i="12" s="1"/>
  <c r="L42" i="12"/>
  <c r="E68" i="12" s="1"/>
  <c r="F6" i="13"/>
  <c r="L68" i="12"/>
  <c r="K33" i="12"/>
  <c r="K97" i="12" s="1"/>
  <c r="E6" i="13"/>
  <c r="K68" i="12"/>
  <c r="K42" i="12"/>
  <c r="K35" i="12"/>
  <c r="K110" i="12" s="1"/>
  <c r="K116" i="12" s="1"/>
  <c r="R30" i="12"/>
  <c r="R32" i="12" s="1"/>
  <c r="R33" i="12" s="1"/>
  <c r="O97" i="12" s="1"/>
  <c r="T29" i="12"/>
  <c r="X19" i="12"/>
  <c r="BE8" i="11"/>
  <c r="D44" i="12"/>
  <c r="T24" i="12"/>
  <c r="P96" i="12" s="1"/>
  <c r="M18" i="2"/>
  <c r="M22" i="2" s="1"/>
  <c r="M18" i="17"/>
  <c r="M32" i="2" s="1"/>
  <c r="M19" i="17"/>
  <c r="M30" i="2" s="1"/>
  <c r="M17" i="17"/>
  <c r="U23" i="12"/>
  <c r="K39" i="2"/>
  <c r="J39" i="2"/>
  <c r="X22" i="12"/>
  <c r="X38" i="12" s="1"/>
  <c r="P9" i="13" s="1"/>
  <c r="L32" i="2"/>
  <c r="L33" i="2" s="1"/>
  <c r="N22" i="13"/>
  <c r="M14" i="2"/>
  <c r="O20" i="13"/>
  <c r="L14" i="2"/>
  <c r="N20" i="13"/>
  <c r="N63" i="12"/>
  <c r="L20" i="17"/>
  <c r="V17" i="12"/>
  <c r="X26" i="12"/>
  <c r="V20" i="12"/>
  <c r="N7" i="17"/>
  <c r="N17" i="17" s="1"/>
  <c r="Y11" i="12"/>
  <c r="W20" i="12"/>
  <c r="X15" i="12"/>
  <c r="X16" i="12" s="1"/>
  <c r="Y16" i="12" s="1"/>
  <c r="X39" i="12"/>
  <c r="P26" i="13" s="1" a="1"/>
  <c r="P26" i="13" s="1"/>
  <c r="M8" i="17"/>
  <c r="M12" i="17" s="1"/>
  <c r="E42" i="12"/>
  <c r="D71" i="12"/>
  <c r="U21" i="12"/>
  <c r="Q95" i="12" s="1"/>
  <c r="C44" i="12"/>
  <c r="W17" i="12"/>
  <c r="R58" i="12"/>
  <c r="Q63" i="12"/>
  <c r="D67" i="12" l="1"/>
  <c r="AM8" i="11" s="1"/>
  <c r="O110" i="12"/>
  <c r="O116" i="12" s="1"/>
  <c r="D68" i="12"/>
  <c r="F60" i="12"/>
  <c r="F61" i="12"/>
  <c r="P8" i="11"/>
  <c r="BC8" i="11" s="1"/>
  <c r="M110" i="12"/>
  <c r="M116" i="12" s="1"/>
  <c r="Z8" i="11"/>
  <c r="BY8" i="11" s="1"/>
  <c r="CC8" i="11" s="1"/>
  <c r="M63" i="12"/>
  <c r="R66" i="12"/>
  <c r="R67" i="12" s="1"/>
  <c r="Y8" i="11" s="1"/>
  <c r="M70" i="12"/>
  <c r="F67" i="12" s="1"/>
  <c r="L70" i="12"/>
  <c r="F68" i="12" s="1"/>
  <c r="K70" i="12"/>
  <c r="T30" i="12"/>
  <c r="T32" i="12" s="1"/>
  <c r="U29" i="12"/>
  <c r="U30" i="12" s="1"/>
  <c r="U24" i="12"/>
  <c r="Q96" i="12" s="1"/>
  <c r="N18" i="2"/>
  <c r="N22" i="2" s="1"/>
  <c r="O22" i="13"/>
  <c r="M20" i="17"/>
  <c r="O21" i="13"/>
  <c r="M29" i="2"/>
  <c r="M33" i="2" s="1"/>
  <c r="R63" i="12"/>
  <c r="W21" i="12"/>
  <c r="T95" i="12" s="1"/>
  <c r="E44" i="12"/>
  <c r="F42" i="12"/>
  <c r="L39" i="2"/>
  <c r="P30" i="13"/>
  <c r="M13" i="2"/>
  <c r="O19" i="13"/>
  <c r="N29" i="2"/>
  <c r="P21" i="13"/>
  <c r="N18" i="17"/>
  <c r="N8" i="17"/>
  <c r="N12" i="17" s="1"/>
  <c r="V21" i="12"/>
  <c r="R95" i="12" s="1"/>
  <c r="W23" i="12"/>
  <c r="V23" i="12"/>
  <c r="N19" i="17"/>
  <c r="N30" i="2" s="1"/>
  <c r="N13" i="17"/>
  <c r="C42" i="12"/>
  <c r="X17" i="12"/>
  <c r="X20" i="12"/>
  <c r="R68" i="12"/>
  <c r="BD8" i="11" l="1"/>
  <c r="CE8" i="11"/>
  <c r="AO8" i="11"/>
  <c r="L6" i="13"/>
  <c r="T35" i="12"/>
  <c r="D46" i="12"/>
  <c r="D45" i="12" s="1"/>
  <c r="T33" i="12"/>
  <c r="P97" i="12" s="1"/>
  <c r="U32" i="12"/>
  <c r="V29" i="12"/>
  <c r="V30" i="12" s="1"/>
  <c r="W29" i="12"/>
  <c r="W24" i="12"/>
  <c r="T96" i="12" s="1"/>
  <c r="M39" i="2"/>
  <c r="N32" i="2"/>
  <c r="N33" i="2" s="1"/>
  <c r="P22" i="13"/>
  <c r="N13" i="2"/>
  <c r="P19" i="13"/>
  <c r="N14" i="2"/>
  <c r="P20" i="13"/>
  <c r="N20" i="17"/>
  <c r="V24" i="12"/>
  <c r="R96" i="12" s="1"/>
  <c r="F44" i="12"/>
  <c r="R70" i="12"/>
  <c r="C46" i="12" s="1"/>
  <c r="C45" i="12" s="1"/>
  <c r="Y20" i="12"/>
  <c r="AF11" i="12"/>
  <c r="X21" i="12"/>
  <c r="U95" i="12" s="1"/>
  <c r="X23" i="12"/>
  <c r="BX40" i="11"/>
  <c r="BX41" i="11"/>
  <c r="BX42" i="11"/>
  <c r="AL40" i="11"/>
  <c r="AN40" i="11"/>
  <c r="AP40" i="11"/>
  <c r="AR40" i="11"/>
  <c r="AW40" i="11"/>
  <c r="BJ40" i="11"/>
  <c r="F8" i="21" s="1"/>
  <c r="BK40" i="11"/>
  <c r="F9" i="21" s="1"/>
  <c r="BL40" i="11"/>
  <c r="BM40" i="11"/>
  <c r="BN40" i="11"/>
  <c r="F10" i="21" s="1"/>
  <c r="BO40" i="11"/>
  <c r="F11" i="21" s="1"/>
  <c r="BP40" i="11"/>
  <c r="BQ40" i="11"/>
  <c r="F12" i="21" s="1"/>
  <c r="BR40" i="11"/>
  <c r="F13" i="21" s="1"/>
  <c r="BS40" i="11"/>
  <c r="BV40" i="11"/>
  <c r="BZ40" i="11"/>
  <c r="CA40" i="11"/>
  <c r="CC40" i="11"/>
  <c r="CD40" i="11"/>
  <c r="CE40" i="11"/>
  <c r="AL41" i="11"/>
  <c r="AN41" i="11"/>
  <c r="AP41" i="11"/>
  <c r="AR41" i="11"/>
  <c r="AW41" i="11"/>
  <c r="BJ41" i="11"/>
  <c r="BK41" i="11"/>
  <c r="BL41" i="11"/>
  <c r="BN41" i="11"/>
  <c r="BO41" i="11"/>
  <c r="BP41" i="11"/>
  <c r="BQ41" i="11"/>
  <c r="BR41" i="11"/>
  <c r="BS41" i="11"/>
  <c r="BV41" i="11"/>
  <c r="BZ41" i="11"/>
  <c r="CA41" i="11"/>
  <c r="CC41" i="11"/>
  <c r="CD41" i="11"/>
  <c r="CE41" i="11"/>
  <c r="AL42" i="11"/>
  <c r="AN42" i="11"/>
  <c r="AP42" i="11"/>
  <c r="AR42" i="11"/>
  <c r="AW42" i="11"/>
  <c r="BJ42" i="11"/>
  <c r="BK42" i="11"/>
  <c r="BL42" i="11"/>
  <c r="BN42" i="11"/>
  <c r="BO42" i="11"/>
  <c r="BP42" i="11"/>
  <c r="BQ42" i="11"/>
  <c r="BR42" i="11"/>
  <c r="BS42" i="11"/>
  <c r="BV42" i="11"/>
  <c r="BZ42" i="11"/>
  <c r="CA42" i="11"/>
  <c r="CC42" i="11"/>
  <c r="CD42" i="11"/>
  <c r="CE42" i="11"/>
  <c r="AL43" i="11"/>
  <c r="AN43" i="11"/>
  <c r="AP43" i="11"/>
  <c r="AR43" i="11"/>
  <c r="AW43" i="11"/>
  <c r="BJ43" i="11"/>
  <c r="D8" i="21" s="1"/>
  <c r="BK43" i="11"/>
  <c r="D9" i="21" s="1"/>
  <c r="BL43" i="11"/>
  <c r="BM43" i="11"/>
  <c r="BN43" i="11"/>
  <c r="D10" i="21" s="1"/>
  <c r="BO43" i="11"/>
  <c r="D11" i="21" s="1"/>
  <c r="BP43" i="11"/>
  <c r="BQ43" i="11"/>
  <c r="D12" i="21" s="1"/>
  <c r="BR43" i="11"/>
  <c r="D13" i="21" s="1"/>
  <c r="BS43" i="11"/>
  <c r="BV43" i="11"/>
  <c r="BX43" i="11"/>
  <c r="BZ43" i="11"/>
  <c r="CA43" i="11"/>
  <c r="CC43" i="11"/>
  <c r="CD43" i="11"/>
  <c r="CE43" i="11"/>
  <c r="F255" i="11"/>
  <c r="F256" i="11"/>
  <c r="F257" i="11"/>
  <c r="F258" i="11"/>
  <c r="C259" i="11"/>
  <c r="F259" i="11" s="1"/>
  <c r="C254" i="11"/>
  <c r="F254" i="11" s="1"/>
  <c r="AK40" i="11"/>
  <c r="AG8" i="11"/>
  <c r="BU8" i="11" s="1"/>
  <c r="AH8" i="11"/>
  <c r="AI8" i="11"/>
  <c r="AF8" i="11"/>
  <c r="E10" i="21" l="1"/>
  <c r="E12" i="21"/>
  <c r="E11" i="21"/>
  <c r="E9" i="21"/>
  <c r="E13" i="21"/>
  <c r="E8" i="21"/>
  <c r="P110" i="12"/>
  <c r="P116" i="12" s="1"/>
  <c r="F70" i="12"/>
  <c r="W30" i="12"/>
  <c r="W32" i="12" s="1"/>
  <c r="E46" i="12"/>
  <c r="E45" i="12" s="1"/>
  <c r="M6" i="13"/>
  <c r="U35" i="12"/>
  <c r="U33" i="12"/>
  <c r="Q97" i="12" s="1"/>
  <c r="V32" i="12"/>
  <c r="X29" i="12"/>
  <c r="Y29" i="12" s="1"/>
  <c r="N39" i="2"/>
  <c r="Y23" i="12"/>
  <c r="AF15" i="12"/>
  <c r="AF41" i="12" s="1"/>
  <c r="X24" i="12"/>
  <c r="U96" i="12" s="1"/>
  <c r="AK41" i="11"/>
  <c r="AM41" i="11"/>
  <c r="AO43" i="11"/>
  <c r="AO40" i="11"/>
  <c r="AO41" i="11"/>
  <c r="AO42" i="11"/>
  <c r="AM40" i="11"/>
  <c r="AM42" i="11"/>
  <c r="AK42" i="11"/>
  <c r="AM43" i="11"/>
  <c r="AK43" i="11"/>
  <c r="AP8" i="11" l="1"/>
  <c r="BZ8" i="11"/>
  <c r="CA8" i="11"/>
  <c r="W35" i="12"/>
  <c r="T110" i="12" s="1"/>
  <c r="T116" i="12" s="1"/>
  <c r="W33" i="12"/>
  <c r="T97" i="12" s="1"/>
  <c r="O6" i="13"/>
  <c r="X30" i="12"/>
  <c r="X32" i="12" s="1"/>
  <c r="Y32" i="12" s="1"/>
  <c r="Q110" i="12"/>
  <c r="Q116" i="12" s="1"/>
  <c r="V35" i="12"/>
  <c r="R110" i="12" s="1"/>
  <c r="R116" i="12" s="1"/>
  <c r="V33" i="12"/>
  <c r="R97" i="12" s="1"/>
  <c r="F46" i="12"/>
  <c r="F45" i="12" s="1"/>
  <c r="N6" i="13"/>
  <c r="F71" i="12"/>
  <c r="BU43" i="11"/>
  <c r="BU40" i="11"/>
  <c r="BU42" i="11"/>
  <c r="BU41" i="11"/>
  <c r="BD43" i="11"/>
  <c r="BD42" i="11"/>
  <c r="BD41" i="11"/>
  <c r="BD40" i="11"/>
  <c r="AV42" i="11"/>
  <c r="AV43" i="11"/>
  <c r="AV41" i="11"/>
  <c r="AV40" i="11"/>
  <c r="AT42" i="11"/>
  <c r="AT40" i="11"/>
  <c r="AT41" i="11"/>
  <c r="AT43" i="11"/>
  <c r="AG40" i="11"/>
  <c r="AG42" i="11"/>
  <c r="AG41" i="11"/>
  <c r="AG43" i="11"/>
  <c r="AI42" i="11"/>
  <c r="AI41" i="11"/>
  <c r="AI40" i="11"/>
  <c r="AI43" i="11"/>
  <c r="BE40" i="11"/>
  <c r="BE42" i="11"/>
  <c r="BE41" i="11"/>
  <c r="BE43" i="11"/>
  <c r="AH41" i="11"/>
  <c r="AH40" i="11"/>
  <c r="AH43" i="11"/>
  <c r="AH42" i="11"/>
  <c r="AU42" i="11"/>
  <c r="AU43" i="11"/>
  <c r="AU40" i="11"/>
  <c r="AU41" i="11"/>
  <c r="AY42" i="11"/>
  <c r="AY41" i="11"/>
  <c r="AY40" i="11"/>
  <c r="AY43" i="11"/>
  <c r="AZ43" i="11"/>
  <c r="AZ42" i="11"/>
  <c r="AZ40" i="11"/>
  <c r="AZ41" i="11"/>
  <c r="BC42" i="11"/>
  <c r="BC43" i="11"/>
  <c r="BC41" i="11"/>
  <c r="BC40" i="11"/>
  <c r="AF42" i="11"/>
  <c r="AF41" i="11"/>
  <c r="AF43" i="11"/>
  <c r="AF40" i="11"/>
  <c r="U116" i="12" l="1"/>
  <c r="X33" i="12"/>
  <c r="U97" i="12" s="1"/>
  <c r="X35" i="12"/>
  <c r="P6" i="13"/>
  <c r="BA40" i="11"/>
  <c r="BA41" i="11"/>
  <c r="BA42" i="11"/>
  <c r="BA43" i="11"/>
  <c r="U110" i="12" l="1"/>
  <c r="Y35" i="12"/>
  <c r="F22" i="7"/>
  <c r="E22" i="7"/>
  <c r="E12" i="7"/>
  <c r="E27" i="7" s="1"/>
  <c r="F12" i="7"/>
  <c r="F27" i="7" l="1"/>
  <c r="F40" i="7" s="1"/>
  <c r="E40" i="7"/>
  <c r="E36" i="7"/>
  <c r="E37" i="7"/>
  <c r="F37" i="7"/>
  <c r="E38" i="7"/>
  <c r="F38" i="7"/>
  <c r="E39" i="7"/>
  <c r="F39" i="7"/>
  <c r="F36" i="7"/>
  <c r="E42" i="7"/>
  <c r="F42" i="7"/>
  <c r="F31" i="7"/>
  <c r="F35" i="7"/>
  <c r="E34" i="7"/>
  <c r="F33" i="7"/>
  <c r="F32" i="7"/>
  <c r="F34" i="7"/>
  <c r="E32" i="7"/>
  <c r="E33" i="7"/>
  <c r="E31" i="7"/>
  <c r="E35" i="7"/>
  <c r="E47" i="2"/>
  <c r="F47" i="2"/>
  <c r="G47" i="2"/>
  <c r="H47" i="2"/>
  <c r="D47" i="2"/>
  <c r="E33" i="2"/>
  <c r="F33" i="2"/>
  <c r="G33" i="2"/>
  <c r="H33" i="2"/>
  <c r="D33" i="2"/>
  <c r="E37" i="2"/>
  <c r="F37" i="2"/>
  <c r="G37" i="2"/>
  <c r="H37" i="2"/>
  <c r="D37" i="2"/>
  <c r="E22" i="2"/>
  <c r="F22" i="2"/>
  <c r="G22" i="2"/>
  <c r="H22" i="2"/>
  <c r="D22" i="2"/>
  <c r="E15" i="2"/>
  <c r="F15" i="2"/>
  <c r="G15" i="2"/>
  <c r="H15" i="2"/>
  <c r="D15" i="2"/>
  <c r="K107" i="12" l="1"/>
  <c r="K123" i="19"/>
  <c r="N104" i="12"/>
  <c r="N120" i="19"/>
  <c r="J123" i="19"/>
  <c r="J107" i="12"/>
  <c r="K115" i="19"/>
  <c r="L115" i="19"/>
  <c r="M115" i="19"/>
  <c r="N115" i="19"/>
  <c r="J115" i="19"/>
  <c r="O115" i="19"/>
  <c r="J97" i="19"/>
  <c r="K97" i="19"/>
  <c r="F53" i="19"/>
  <c r="N97" i="19"/>
  <c r="O97" i="19"/>
  <c r="M97" i="19"/>
  <c r="L97" i="19"/>
  <c r="P97" i="19"/>
  <c r="P115" i="19" s="1"/>
  <c r="Q97" i="19"/>
  <c r="Q115" i="19" s="1"/>
  <c r="R97" i="19"/>
  <c r="R115" i="19" s="1"/>
  <c r="S97" i="19"/>
  <c r="T115" i="19" s="1"/>
  <c r="T97" i="19"/>
  <c r="U115" i="19" s="1"/>
  <c r="U97" i="19"/>
  <c r="N99" i="12"/>
  <c r="K99" i="12"/>
  <c r="M99" i="12"/>
  <c r="L99" i="12"/>
  <c r="O99" i="12"/>
  <c r="F52" i="12"/>
  <c r="J104" i="12"/>
  <c r="J120" i="19"/>
  <c r="J103" i="12"/>
  <c r="J102" i="12"/>
  <c r="J118" i="19"/>
  <c r="J119" i="19"/>
  <c r="N119" i="19"/>
  <c r="N103" i="12"/>
  <c r="N118" i="19"/>
  <c r="N102" i="12"/>
  <c r="M104" i="12"/>
  <c r="M120" i="19"/>
  <c r="M118" i="19"/>
  <c r="M103" i="12"/>
  <c r="M119" i="19"/>
  <c r="M102" i="12"/>
  <c r="L104" i="12"/>
  <c r="L120" i="19"/>
  <c r="L118" i="19"/>
  <c r="L119" i="19"/>
  <c r="L102" i="12"/>
  <c r="L103" i="12"/>
  <c r="N107" i="12"/>
  <c r="N123" i="19"/>
  <c r="K104" i="12"/>
  <c r="K120" i="19"/>
  <c r="K103" i="12"/>
  <c r="K118" i="19"/>
  <c r="K102" i="12"/>
  <c r="K119" i="19"/>
  <c r="M123" i="19"/>
  <c r="M107" i="12"/>
  <c r="L107" i="12"/>
  <c r="L123" i="19"/>
  <c r="E52" i="2"/>
  <c r="H52" i="2"/>
  <c r="D52" i="2"/>
  <c r="F52" i="2"/>
  <c r="G52" i="2"/>
  <c r="E39" i="2"/>
  <c r="E49" i="2" s="1"/>
  <c r="F39" i="2"/>
  <c r="F49" i="2" s="1"/>
  <c r="E24" i="2"/>
  <c r="K106" i="12" s="1"/>
  <c r="G39" i="2"/>
  <c r="G49" i="2" s="1"/>
  <c r="H39" i="2"/>
  <c r="D39" i="2"/>
  <c r="D58" i="2" s="1"/>
  <c r="F24" i="2"/>
  <c r="L106" i="12" s="1"/>
  <c r="D24" i="2"/>
  <c r="H24" i="2"/>
  <c r="N122" i="19" s="1"/>
  <c r="G24" i="2"/>
  <c r="M106" i="12" s="1"/>
  <c r="N21" i="1"/>
  <c r="N24" i="1" s="1"/>
  <c r="N30" i="1" s="1"/>
  <c r="M21" i="1"/>
  <c r="M24" i="1" s="1"/>
  <c r="M30" i="1" s="1"/>
  <c r="K9" i="1"/>
  <c r="K12" i="1" s="1"/>
  <c r="J21" i="1"/>
  <c r="J24" i="1" s="1"/>
  <c r="J15" i="1"/>
  <c r="J18" i="1" s="1"/>
  <c r="J9" i="1"/>
  <c r="J12" i="1" s="1"/>
  <c r="I21" i="1"/>
  <c r="I24" i="1" s="1"/>
  <c r="I15" i="1"/>
  <c r="I18" i="1" s="1"/>
  <c r="I9" i="1"/>
  <c r="I12" i="1" s="1"/>
  <c r="H21" i="1"/>
  <c r="H24" i="1" s="1"/>
  <c r="H15" i="1"/>
  <c r="H18" i="1" s="1"/>
  <c r="H9" i="1"/>
  <c r="H12" i="1" s="1"/>
  <c r="G21" i="1"/>
  <c r="G24" i="1" s="1"/>
  <c r="G15" i="1"/>
  <c r="G18" i="1" s="1"/>
  <c r="G9" i="1"/>
  <c r="G12" i="1" s="1"/>
  <c r="C15" i="1"/>
  <c r="C18" i="1" s="1"/>
  <c r="F21" i="1"/>
  <c r="F24" i="1" s="1"/>
  <c r="F15" i="1"/>
  <c r="F18" i="1" s="1"/>
  <c r="F9" i="1"/>
  <c r="F12" i="1" s="1"/>
  <c r="E21" i="1"/>
  <c r="E24" i="1" s="1"/>
  <c r="E15" i="1"/>
  <c r="E18" i="1" s="1"/>
  <c r="E9" i="1"/>
  <c r="E12" i="1" s="1"/>
  <c r="C21" i="1"/>
  <c r="C24" i="1" s="1"/>
  <c r="C9" i="1"/>
  <c r="C12" i="1" s="1"/>
  <c r="D21" i="1"/>
  <c r="D24" i="1" s="1"/>
  <c r="D15" i="1"/>
  <c r="D18" i="1" s="1"/>
  <c r="D9" i="1"/>
  <c r="D12" i="1" s="1"/>
  <c r="L21" i="1"/>
  <c r="L24" i="1" s="1"/>
  <c r="K21" i="1"/>
  <c r="K24" i="1" s="1"/>
  <c r="L15" i="1"/>
  <c r="L18" i="1" s="1"/>
  <c r="K15" i="1"/>
  <c r="K18" i="1" s="1"/>
  <c r="L9" i="1"/>
  <c r="L12" i="1" s="1"/>
  <c r="C28" i="1"/>
  <c r="I30" i="1" l="1"/>
  <c r="G30" i="1"/>
  <c r="J30" i="1"/>
  <c r="L30" i="1"/>
  <c r="D30" i="1"/>
  <c r="K30" i="1"/>
  <c r="E30" i="1"/>
  <c r="H30" i="1"/>
  <c r="F30" i="1"/>
  <c r="N106" i="12"/>
  <c r="D51" i="2"/>
  <c r="J124" i="19"/>
  <c r="J108" i="12"/>
  <c r="J98" i="19"/>
  <c r="J94" i="19"/>
  <c r="J100" i="19"/>
  <c r="J116" i="19"/>
  <c r="F54" i="19"/>
  <c r="F53" i="12"/>
  <c r="J122" i="19"/>
  <c r="L116" i="19"/>
  <c r="L100" i="12"/>
  <c r="H51" i="2"/>
  <c r="N108" i="12"/>
  <c r="N124" i="19"/>
  <c r="AF27" i="19"/>
  <c r="F58" i="19"/>
  <c r="N98" i="19"/>
  <c r="F31" i="19"/>
  <c r="F35" i="19" s="1"/>
  <c r="N94" i="19"/>
  <c r="H58" i="2"/>
  <c r="N100" i="19"/>
  <c r="F60" i="19"/>
  <c r="F59" i="19"/>
  <c r="F58" i="12"/>
  <c r="F59" i="12"/>
  <c r="K116" i="19"/>
  <c r="K100" i="12"/>
  <c r="CJ8" i="11"/>
  <c r="K122" i="19"/>
  <c r="G51" i="2"/>
  <c r="M124" i="19"/>
  <c r="M108" i="12"/>
  <c r="M98" i="19"/>
  <c r="M94" i="19"/>
  <c r="G58" i="2"/>
  <c r="M100" i="19"/>
  <c r="M116" i="19"/>
  <c r="M100" i="12"/>
  <c r="F51" i="2"/>
  <c r="L124" i="19"/>
  <c r="L108" i="12"/>
  <c r="F58" i="2"/>
  <c r="L94" i="19"/>
  <c r="L98" i="19"/>
  <c r="L100" i="19"/>
  <c r="H49" i="2"/>
  <c r="M122" i="19"/>
  <c r="D49" i="2"/>
  <c r="J106" i="12"/>
  <c r="N116" i="19"/>
  <c r="O116" i="19"/>
  <c r="P116" i="19"/>
  <c r="Q116" i="19"/>
  <c r="R116" i="19"/>
  <c r="T116" i="19"/>
  <c r="U116" i="19"/>
  <c r="N100" i="12"/>
  <c r="O100" i="12"/>
  <c r="E51" i="2"/>
  <c r="K108" i="12"/>
  <c r="K124" i="19"/>
  <c r="E58" i="2"/>
  <c r="K94" i="19"/>
  <c r="K98" i="19"/>
  <c r="K100" i="19"/>
  <c r="L122" i="19"/>
  <c r="G23" i="13"/>
  <c r="G40" i="13" s="1"/>
  <c r="F23" i="13"/>
  <c r="F40" i="13" s="1"/>
  <c r="E23" i="13"/>
  <c r="E40" i="13" s="1"/>
  <c r="H23" i="13"/>
  <c r="H40" i="13" s="1"/>
  <c r="C30" i="1"/>
  <c r="AZ8" i="11" l="1"/>
  <c r="BV8" i="11"/>
  <c r="K114" i="19"/>
  <c r="N114" i="19"/>
  <c r="J114" i="19"/>
  <c r="M114" i="19"/>
  <c r="O114" i="19"/>
  <c r="L114" i="19"/>
  <c r="J95" i="19"/>
  <c r="F52" i="19"/>
  <c r="O95" i="19"/>
  <c r="N95" i="19"/>
  <c r="M95" i="19"/>
  <c r="L95" i="19"/>
  <c r="P95" i="19"/>
  <c r="P114" i="19" s="1"/>
  <c r="K95" i="19"/>
  <c r="Q95" i="19"/>
  <c r="Q114" i="19" s="1"/>
  <c r="R95" i="19"/>
  <c r="R114" i="19" s="1"/>
  <c r="T95" i="19"/>
  <c r="U114" i="19" s="1"/>
  <c r="U95" i="19"/>
  <c r="L98" i="12"/>
  <c r="M98" i="12"/>
  <c r="K98" i="12"/>
  <c r="N98" i="12"/>
  <c r="F51" i="12"/>
  <c r="O98" i="12"/>
  <c r="J131" i="19"/>
  <c r="J130" i="19"/>
  <c r="J129" i="19"/>
  <c r="M129" i="19"/>
  <c r="N129" i="19"/>
  <c r="L130" i="19"/>
  <c r="O131" i="19"/>
  <c r="K129" i="19"/>
  <c r="N131" i="19"/>
  <c r="O129" i="19"/>
  <c r="K131" i="19"/>
  <c r="N130" i="19"/>
  <c r="C40" i="19"/>
  <c r="K130" i="19"/>
  <c r="L131" i="19"/>
  <c r="M131" i="19"/>
  <c r="M130" i="19"/>
  <c r="O130" i="19"/>
  <c r="L129" i="19"/>
  <c r="P129" i="19"/>
  <c r="Q129" i="19"/>
  <c r="D40" i="19"/>
  <c r="R129" i="19"/>
  <c r="P130" i="19"/>
  <c r="C44" i="19"/>
  <c r="E40" i="19"/>
  <c r="P131" i="19"/>
  <c r="F40" i="19"/>
  <c r="C42" i="19"/>
  <c r="D42" i="19"/>
  <c r="T129" i="19"/>
  <c r="Q130" i="19"/>
  <c r="Q131" i="19"/>
  <c r="U129" i="19"/>
  <c r="E42" i="19"/>
  <c r="D44" i="19"/>
  <c r="R130" i="19"/>
  <c r="E44" i="19"/>
  <c r="F42" i="19"/>
  <c r="R131" i="19"/>
  <c r="T130" i="19"/>
  <c r="F44" i="19"/>
  <c r="U130" i="19"/>
  <c r="T131" i="19"/>
  <c r="U131" i="19"/>
  <c r="F30" i="12"/>
  <c r="AF26" i="12"/>
  <c r="P98" i="19"/>
  <c r="R98" i="19" s="1"/>
  <c r="T98" i="19" s="1"/>
  <c r="J11" i="17"/>
  <c r="L18" i="13" s="1"/>
  <c r="M11" i="17"/>
  <c r="K11" i="17"/>
  <c r="L11" i="17"/>
  <c r="M18" i="13" l="1"/>
  <c r="M23" i="13" s="1"/>
  <c r="M40" i="13" s="1"/>
  <c r="N18" i="13"/>
  <c r="N23" i="13" s="1"/>
  <c r="N40" i="13" s="1"/>
  <c r="O18" i="13"/>
  <c r="O23" i="13" s="1"/>
  <c r="O40" i="13" s="1"/>
  <c r="L23" i="13"/>
  <c r="L40" i="13" s="1"/>
  <c r="M14" i="17"/>
  <c r="M22" i="17" s="1"/>
  <c r="M12" i="2"/>
  <c r="L14" i="17"/>
  <c r="L22" i="17" s="1"/>
  <c r="L12" i="2"/>
  <c r="K14" i="17"/>
  <c r="K22" i="17" s="1"/>
  <c r="K12" i="2"/>
  <c r="J14" i="17"/>
  <c r="J22" i="17" s="1"/>
  <c r="J25" i="17" s="1"/>
  <c r="T39" i="19" s="1"/>
  <c r="T41" i="19" s="1"/>
  <c r="E71" i="19" s="1"/>
  <c r="J12" i="2"/>
  <c r="N11" i="17"/>
  <c r="P18" i="13" s="1"/>
  <c r="P23" i="13" l="1"/>
  <c r="P40" i="13" s="1"/>
  <c r="L25" i="17"/>
  <c r="V39" i="19" s="1"/>
  <c r="V41" i="19" s="1"/>
  <c r="M25" i="17"/>
  <c r="W39" i="19" s="1"/>
  <c r="W41" i="19" s="1"/>
  <c r="D49" i="19"/>
  <c r="D48" i="19" s="1"/>
  <c r="N14" i="17"/>
  <c r="N22" i="17" s="1"/>
  <c r="N25" i="17" s="1"/>
  <c r="X39" i="19" s="1"/>
  <c r="X41" i="19" s="1"/>
  <c r="N12" i="2"/>
  <c r="T40" i="12"/>
  <c r="T42" i="12" s="1"/>
  <c r="E70" i="12" s="1"/>
  <c r="K25" i="17"/>
  <c r="U39" i="19" s="1"/>
  <c r="U41" i="19" s="1"/>
  <c r="E72" i="19" s="1"/>
  <c r="V40" i="12" l="1"/>
  <c r="V42" i="12" s="1"/>
  <c r="F48" i="12" s="1"/>
  <c r="F47" i="12" s="1"/>
  <c r="F49" i="19"/>
  <c r="F48" i="19" s="1"/>
  <c r="W40" i="12"/>
  <c r="W42" i="12" s="1"/>
  <c r="X40" i="12"/>
  <c r="X42" i="12" s="1"/>
  <c r="D48" i="12"/>
  <c r="D47" i="12" s="1"/>
  <c r="E49" i="19"/>
  <c r="E48" i="19" s="1"/>
  <c r="U40" i="12"/>
  <c r="U42" i="12" s="1"/>
  <c r="E71" i="12" s="1"/>
  <c r="E48" i="12" l="1"/>
  <c r="E47" i="12" s="1"/>
  <c r="J19" i="12"/>
  <c r="J77" i="12" s="1"/>
  <c r="J20" i="12" l="1"/>
  <c r="J21" i="12" l="1"/>
  <c r="J95" i="12" s="1"/>
  <c r="O20" i="12"/>
  <c r="J23" i="12"/>
  <c r="J29" i="12" l="1"/>
  <c r="J24" i="12"/>
  <c r="J96" i="12" s="1"/>
  <c r="O23" i="12"/>
  <c r="J54" i="12" l="1"/>
  <c r="J57" i="12" s="1"/>
  <c r="J32" i="12"/>
  <c r="J62" i="12"/>
  <c r="J65" i="12"/>
  <c r="O29" i="12"/>
  <c r="J58" i="12"/>
  <c r="O57" i="12"/>
  <c r="J66" i="12" l="1"/>
  <c r="J67" i="12" s="1"/>
  <c r="O32" i="12"/>
  <c r="J33" i="12"/>
  <c r="J97" i="12" s="1"/>
  <c r="J35" i="12"/>
  <c r="O35" i="12" s="1"/>
  <c r="D6" i="13"/>
  <c r="D23" i="13" s="1"/>
  <c r="D40" i="13" s="1"/>
  <c r="D43" i="13" s="1"/>
  <c r="E42" i="13" s="1"/>
  <c r="E43" i="13" s="1"/>
  <c r="F42" i="13" s="1"/>
  <c r="F43" i="13" s="1"/>
  <c r="G42" i="13" s="1"/>
  <c r="G43" i="13" s="1"/>
  <c r="H42" i="13" s="1"/>
  <c r="K42" i="13" s="1"/>
  <c r="K43" i="13" s="1"/>
  <c r="J68" i="12"/>
  <c r="J42" i="12"/>
  <c r="J98" i="12"/>
  <c r="J63" i="12"/>
  <c r="O62" i="12"/>
  <c r="I15" i="2" l="1"/>
  <c r="J110" i="12"/>
  <c r="J116" i="12" s="1"/>
  <c r="H43" i="13"/>
  <c r="L42" i="13" s="1"/>
  <c r="L43" i="13" s="1"/>
  <c r="J10" i="2" s="1"/>
  <c r="O120" i="19"/>
  <c r="F33" i="12"/>
  <c r="CI8" i="11"/>
  <c r="BA8" i="11" s="1"/>
  <c r="O104" i="12"/>
  <c r="AF29" i="12"/>
  <c r="J100" i="12"/>
  <c r="J99" i="12"/>
  <c r="J70" i="12"/>
  <c r="O67" i="12"/>
  <c r="I52" i="2" l="1"/>
  <c r="I24" i="2"/>
  <c r="I47" i="2" s="1"/>
  <c r="I49" i="2" s="1"/>
  <c r="F34" i="12"/>
  <c r="P114" i="12" s="1"/>
  <c r="F6" i="21"/>
  <c r="D6" i="21"/>
  <c r="M42" i="13"/>
  <c r="M43" i="13" s="1"/>
  <c r="N42" i="13" s="1"/>
  <c r="N43" i="13" s="1"/>
  <c r="N113" i="12"/>
  <c r="K115" i="12"/>
  <c r="N114" i="12"/>
  <c r="J114" i="12"/>
  <c r="P115" i="12"/>
  <c r="J15" i="2"/>
  <c r="P120" i="19"/>
  <c r="P104" i="12"/>
  <c r="CH8" i="11"/>
  <c r="O103" i="12"/>
  <c r="O118" i="19"/>
  <c r="O119" i="19"/>
  <c r="O102" i="12"/>
  <c r="N115" i="12" l="1"/>
  <c r="P113" i="12"/>
  <c r="Q113" i="12"/>
  <c r="D39" i="12"/>
  <c r="M113" i="12"/>
  <c r="J113" i="12"/>
  <c r="T113" i="12"/>
  <c r="D41" i="12"/>
  <c r="U113" i="12"/>
  <c r="L113" i="12"/>
  <c r="O114" i="12"/>
  <c r="R115" i="12"/>
  <c r="F39" i="12"/>
  <c r="L115" i="12"/>
  <c r="R113" i="12"/>
  <c r="M115" i="12"/>
  <c r="O113" i="12"/>
  <c r="T115" i="12"/>
  <c r="Q114" i="12"/>
  <c r="E43" i="12"/>
  <c r="T114" i="12"/>
  <c r="C41" i="12"/>
  <c r="L114" i="12"/>
  <c r="J115" i="12"/>
  <c r="R114" i="12"/>
  <c r="O115" i="12"/>
  <c r="C39" i="12"/>
  <c r="U115" i="12"/>
  <c r="F41" i="12"/>
  <c r="D43" i="12"/>
  <c r="F43" i="12"/>
  <c r="E39" i="12"/>
  <c r="K114" i="12"/>
  <c r="M114" i="12"/>
  <c r="G8" i="11"/>
  <c r="CM8" i="11" s="1"/>
  <c r="C43" i="12"/>
  <c r="I51" i="2"/>
  <c r="K58" i="2"/>
  <c r="U114" i="12"/>
  <c r="K113" i="12"/>
  <c r="Q115" i="12"/>
  <c r="E41" i="12"/>
  <c r="E6" i="21"/>
  <c r="K10" i="2"/>
  <c r="K15" i="2" s="1"/>
  <c r="P118" i="19"/>
  <c r="J24" i="2"/>
  <c r="J47" i="2" s="1"/>
  <c r="P102" i="12"/>
  <c r="P119" i="19"/>
  <c r="J52" i="2"/>
  <c r="P103" i="12"/>
  <c r="CG8" i="11"/>
  <c r="O122" i="19"/>
  <c r="O106" i="12"/>
  <c r="O42" i="13"/>
  <c r="O43" i="13" s="1"/>
  <c r="L10" i="2"/>
  <c r="BL8" i="11" l="1"/>
  <c r="BO8" i="11"/>
  <c r="BQ8" i="11"/>
  <c r="BR8" i="11"/>
  <c r="BJ8" i="11"/>
  <c r="BS8" i="11"/>
  <c r="BK8" i="11"/>
  <c r="BP8" i="11"/>
  <c r="BN8" i="11"/>
  <c r="Q104" i="12"/>
  <c r="Q120" i="19"/>
  <c r="L15" i="2"/>
  <c r="R120" i="19"/>
  <c r="R104" i="12"/>
  <c r="O124" i="19"/>
  <c r="O108" i="12"/>
  <c r="O107" i="12"/>
  <c r="O123" i="19"/>
  <c r="F57" i="12"/>
  <c r="D8" i="18" s="1"/>
  <c r="AU8" i="11"/>
  <c r="AY8" i="11"/>
  <c r="AT8" i="11"/>
  <c r="AV8" i="11"/>
  <c r="P42" i="13"/>
  <c r="P43" i="13" s="1"/>
  <c r="N10" i="2" s="1"/>
  <c r="M10" i="2"/>
  <c r="Q119" i="19"/>
  <c r="Q102" i="12"/>
  <c r="K24" i="2"/>
  <c r="Q118" i="19"/>
  <c r="Q103" i="12"/>
  <c r="K52" i="2"/>
  <c r="P100" i="12"/>
  <c r="P122" i="19"/>
  <c r="P106" i="12"/>
  <c r="Q100" i="12" l="1"/>
  <c r="Q122" i="19"/>
  <c r="K47" i="2"/>
  <c r="Q106" i="12"/>
  <c r="J49" i="2"/>
  <c r="P123" i="19"/>
  <c r="P107" i="12"/>
  <c r="P124" i="19"/>
  <c r="P108" i="12"/>
  <c r="J51" i="2"/>
  <c r="P99" i="12"/>
  <c r="L58" i="2"/>
  <c r="P98" i="12" s="1"/>
  <c r="D9" i="18"/>
  <c r="J22" i="18" s="1"/>
  <c r="L22" i="18" s="1"/>
  <c r="D21" i="18" s="1"/>
  <c r="D23" i="18" s="1"/>
  <c r="T120" i="19"/>
  <c r="M15" i="2"/>
  <c r="T104" i="12"/>
  <c r="N15" i="2"/>
  <c r="U120" i="19"/>
  <c r="U104" i="12"/>
  <c r="L24" i="2"/>
  <c r="R102" i="12"/>
  <c r="R103" i="12"/>
  <c r="L52" i="2"/>
  <c r="R118" i="19"/>
  <c r="R119" i="19"/>
  <c r="L99" i="19" l="1"/>
  <c r="N99" i="19"/>
  <c r="J99" i="19"/>
  <c r="K99" i="19"/>
  <c r="M99" i="19"/>
  <c r="R122" i="19"/>
  <c r="R100" i="12"/>
  <c r="R106" i="12"/>
  <c r="L47" i="2"/>
  <c r="Q124" i="19"/>
  <c r="Q123" i="19"/>
  <c r="Q99" i="12"/>
  <c r="Q107" i="12"/>
  <c r="K51" i="2"/>
  <c r="K49" i="2"/>
  <c r="Q108" i="12"/>
  <c r="M58" i="2"/>
  <c r="Q98" i="12" s="1"/>
  <c r="D26" i="18"/>
  <c r="U103" i="12"/>
  <c r="U119" i="19"/>
  <c r="N24" i="2"/>
  <c r="N52" i="2"/>
  <c r="U102" i="12"/>
  <c r="U118" i="19"/>
  <c r="T118" i="19"/>
  <c r="T119" i="19"/>
  <c r="T102" i="12"/>
  <c r="M52" i="2"/>
  <c r="T103" i="12"/>
  <c r="M24" i="2"/>
  <c r="M47" i="2" l="1"/>
  <c r="T100" i="12"/>
  <c r="T122" i="19"/>
  <c r="T106" i="12"/>
  <c r="N47" i="2"/>
  <c r="U106" i="12"/>
  <c r="U122" i="19"/>
  <c r="U100" i="12"/>
  <c r="J43" i="12"/>
  <c r="J42" i="19"/>
  <c r="G26" i="18"/>
  <c r="R99" i="12"/>
  <c r="R124" i="19"/>
  <c r="R108" i="12"/>
  <c r="L51" i="2"/>
  <c r="L49" i="2"/>
  <c r="R123" i="19"/>
  <c r="R107" i="12"/>
  <c r="N58" i="2"/>
  <c r="R98" i="12" s="1"/>
  <c r="U123" i="19" l="1"/>
  <c r="N49" i="2"/>
  <c r="U124" i="19"/>
  <c r="N51" i="2"/>
  <c r="U107" i="12"/>
  <c r="U108" i="12"/>
  <c r="U99" i="12"/>
  <c r="P58" i="2"/>
  <c r="U98" i="12" s="1"/>
  <c r="W44" i="19"/>
  <c r="W45" i="19" s="1"/>
  <c r="X44" i="19"/>
  <c r="X45" i="19" s="1"/>
  <c r="AF40" i="19" s="1"/>
  <c r="U44" i="19"/>
  <c r="U45" i="19" s="1"/>
  <c r="T44" i="19"/>
  <c r="T45" i="19" s="1"/>
  <c r="AF16" i="19"/>
  <c r="AF17" i="19" s="1"/>
  <c r="V44" i="19"/>
  <c r="V45" i="19" s="1"/>
  <c r="AF41" i="19"/>
  <c r="W45" i="12"/>
  <c r="W46" i="12" s="1"/>
  <c r="AF16" i="12"/>
  <c r="AF17" i="12" s="1"/>
  <c r="X45" i="12"/>
  <c r="X46" i="12" s="1"/>
  <c r="AF39" i="12" s="1"/>
  <c r="V45" i="12"/>
  <c r="V46" i="12" s="1"/>
  <c r="U45" i="12"/>
  <c r="U46" i="12" s="1"/>
  <c r="T45" i="12"/>
  <c r="T46" i="12" s="1"/>
  <c r="AF40" i="12"/>
  <c r="M51" i="2"/>
  <c r="T107" i="12"/>
  <c r="T124" i="19"/>
  <c r="M49" i="2"/>
  <c r="T108" i="12"/>
  <c r="T99" i="12"/>
  <c r="T123" i="19"/>
  <c r="O58" i="2"/>
  <c r="T98" i="12" s="1"/>
  <c r="AF8" i="12" l="1"/>
  <c r="AF21" i="12" s="1"/>
  <c r="AF46" i="12" s="1"/>
  <c r="AF44" i="19"/>
  <c r="AA62" i="19" s="1"/>
  <c r="AF43" i="12"/>
  <c r="AA62" i="12" s="1"/>
  <c r="AF8" i="19"/>
  <c r="AF22" i="19" s="1"/>
  <c r="AF20" i="19" s="1"/>
  <c r="AF25" i="12" l="1"/>
  <c r="AF31" i="12" s="1"/>
  <c r="AF35" i="12" s="1"/>
  <c r="AA53" i="12"/>
  <c r="AF49" i="12"/>
  <c r="AF19" i="12"/>
  <c r="AF47" i="19"/>
  <c r="AF48" i="19" s="1"/>
  <c r="AA53" i="19"/>
  <c r="AF26" i="19"/>
  <c r="AF32" i="19" s="1"/>
  <c r="AF36" i="19" s="1"/>
  <c r="AF37" i="19" s="1"/>
  <c r="AF36" i="12" l="1"/>
  <c r="AA71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<sst xmlns="http://schemas.openxmlformats.org/spreadsheetml/2006/main" count="9419" uniqueCount="3769">
  <si>
    <t>Urban Outfitters</t>
  </si>
  <si>
    <t>Free People &amp; FP Movement</t>
  </si>
  <si>
    <t>North America</t>
  </si>
  <si>
    <t>Europe</t>
  </si>
  <si>
    <t>FY2015A</t>
  </si>
  <si>
    <t>FY2016A</t>
  </si>
  <si>
    <t>FY2017A</t>
  </si>
  <si>
    <t>FY2018A</t>
  </si>
  <si>
    <t>FY2019A</t>
  </si>
  <si>
    <t>FY2020A</t>
  </si>
  <si>
    <t>FY2021A</t>
  </si>
  <si>
    <t>FY2022A</t>
  </si>
  <si>
    <t>FY2023</t>
  </si>
  <si>
    <t>FY2023A</t>
  </si>
  <si>
    <t>FY2024A</t>
  </si>
  <si>
    <t>Q1 2025A</t>
  </si>
  <si>
    <t>Q2 2025A</t>
  </si>
  <si>
    <t>Total</t>
  </si>
  <si>
    <t>FY2025E</t>
  </si>
  <si>
    <t>US</t>
  </si>
  <si>
    <t>Anthropologie (incl. Terrain)</t>
  </si>
  <si>
    <t>Menus &amp; Venues</t>
  </si>
  <si>
    <t xml:space="preserve">Total Company-Owned Stores </t>
  </si>
  <si>
    <t>NA</t>
  </si>
  <si>
    <t>-</t>
  </si>
  <si>
    <t>Number of Stores per Brand and Location</t>
  </si>
  <si>
    <t>Current assets: Cash and cash equivalents</t>
  </si>
  <si>
    <t>Marketable securities</t>
  </si>
  <si>
    <t>Inventory</t>
  </si>
  <si>
    <t>Prepaid expenses and other current assets</t>
  </si>
  <si>
    <t>Total current assets</t>
  </si>
  <si>
    <t>Property and equipment, net</t>
  </si>
  <si>
    <t>Operating lease right-of-use assets</t>
  </si>
  <si>
    <t>Deferred income taxes and other assets</t>
  </si>
  <si>
    <t>Total Assets</t>
  </si>
  <si>
    <t>Current portion of operating lease liabilities</t>
  </si>
  <si>
    <t>Accrued compensation and benefits</t>
  </si>
  <si>
    <t>Accrued expenses and other current liabilities</t>
  </si>
  <si>
    <t>Total current liabilities</t>
  </si>
  <si>
    <t>Non-current portion of operating lease liabilities</t>
  </si>
  <si>
    <t>Deferred rent and other liabilities</t>
  </si>
  <si>
    <t>Additional paid-in-capital</t>
  </si>
  <si>
    <t>Retained earnings</t>
  </si>
  <si>
    <t>Accumulated other comprehensive loss</t>
  </si>
  <si>
    <t>Total Shareholders' Equity</t>
  </si>
  <si>
    <t>Total Liabilities and Shareholders' Equity</t>
  </si>
  <si>
    <t>Assets</t>
  </si>
  <si>
    <t>Total non-current assets</t>
  </si>
  <si>
    <t>Non-current assets</t>
  </si>
  <si>
    <t>Balance Sheet</t>
  </si>
  <si>
    <t>FY2026E</t>
  </si>
  <si>
    <t>FY2027E</t>
  </si>
  <si>
    <t>FY2028E</t>
  </si>
  <si>
    <t>FY2029E</t>
  </si>
  <si>
    <t>Liabilities and Shareholder's Equity</t>
  </si>
  <si>
    <t>Equity</t>
  </si>
  <si>
    <t>Accounts receivable</t>
  </si>
  <si>
    <t>Cash and cash equivalents</t>
  </si>
  <si>
    <t>Total non-current liabilities</t>
  </si>
  <si>
    <t>Total liabilities</t>
  </si>
  <si>
    <t>Accounts payable</t>
  </si>
  <si>
    <t>Current liabilities</t>
  </si>
  <si>
    <r>
      <t xml:space="preserve">Preferred shares </t>
    </r>
    <r>
      <rPr>
        <vertAlign val="superscript"/>
        <sz val="12"/>
        <color rgb="FF000000"/>
        <rFont val="Aptos Narrow (Body)"/>
      </rPr>
      <t>1</t>
    </r>
  </si>
  <si>
    <r>
      <t xml:space="preserve">Common Shares </t>
    </r>
    <r>
      <rPr>
        <vertAlign val="superscript"/>
        <sz val="12"/>
        <color rgb="FF000000"/>
        <rFont val="Aptos Narrow (Body)"/>
      </rPr>
      <t>2</t>
    </r>
  </si>
  <si>
    <r>
      <rPr>
        <vertAlign val="superscript"/>
        <sz val="12"/>
        <color theme="1"/>
        <rFont val="Aptos Narrow (Body)"/>
      </rPr>
      <t>2</t>
    </r>
    <r>
      <rPr>
        <sz val="12"/>
        <color theme="1"/>
        <rFont val="Aptos Narrow (Body)"/>
      </rPr>
      <t>$.0001 par value, 200M shares authorized, 92,787,522 and 92,180,709 issued and outstanding, respectively</t>
    </r>
  </si>
  <si>
    <r>
      <t>1</t>
    </r>
    <r>
      <rPr>
        <sz val="12"/>
        <color theme="1"/>
        <rFont val="Aptos Narrow (Body)"/>
      </rPr>
      <t>$.0001 par value, 100M shares authorized, none issued</t>
    </r>
  </si>
  <si>
    <t>Debt-to-Equity</t>
  </si>
  <si>
    <t>Income Statement</t>
  </si>
  <si>
    <t>High</t>
  </si>
  <si>
    <t>Low</t>
  </si>
  <si>
    <t>Net sales</t>
  </si>
  <si>
    <t>Cost of sales</t>
  </si>
  <si>
    <t>Store impairment and lease abandonment charges</t>
  </si>
  <si>
    <t>Gross profit</t>
  </si>
  <si>
    <t>SG&amp;A</t>
  </si>
  <si>
    <t>EBITDA</t>
  </si>
  <si>
    <t>Interest income</t>
  </si>
  <si>
    <t>Interest expense</t>
  </si>
  <si>
    <t>Other expense</t>
  </si>
  <si>
    <t>Income tax</t>
  </si>
  <si>
    <t>Net income</t>
  </si>
  <si>
    <t>($ thousands, expect share and per share data)</t>
  </si>
  <si>
    <t>Asset &amp; Goodwill impairment</t>
  </si>
  <si>
    <t>Cash flows from operating activities:</t>
  </si>
  <si>
    <t>Depreciation and amortization</t>
  </si>
  <si>
    <t>Non-cash lease expense</t>
  </si>
  <si>
    <t>Provision (benefit) for deferred income taxes</t>
  </si>
  <si>
    <t>Share-based compensation expense</t>
  </si>
  <si>
    <t>Amortization of tax credit investment</t>
  </si>
  <si>
    <t>Loss on disposition of property and equipment, net</t>
  </si>
  <si>
    <t>Changes in assets and liabilities:</t>
  </si>
  <si>
    <t>Receivables</t>
  </si>
  <si>
    <t>Prepaid expenses and other assets</t>
  </si>
  <si>
    <t>Payables, accrued expenses and other liabilities</t>
  </si>
  <si>
    <t>Operating lease liabilities</t>
  </si>
  <si>
    <t>Cash flows from investing activities:</t>
  </si>
  <si>
    <t>Cash paid for property and equipment</t>
  </si>
  <si>
    <t>Cash paid for marketable securities</t>
  </si>
  <si>
    <t>Sales and maturities of marketable securities</t>
  </si>
  <si>
    <t>Initial cash payment for tax credit investment</t>
  </si>
  <si>
    <t>Cash flows from financing activities:</t>
  </si>
  <si>
    <t>Proceeds from the exercise of share-based awards</t>
  </si>
  <si>
    <t>Share repurchases related to share repurchase program</t>
  </si>
  <si>
    <t>Share repurchases related to taxes for share-based awards</t>
  </si>
  <si>
    <t>Tax credit investment liability payments</t>
  </si>
  <si>
    <t>Effect of exchange rate changes on cash and cash equivalents</t>
  </si>
  <si>
    <t>Decrease in cash and cash equivalents</t>
  </si>
  <si>
    <t>Cash and cash equivalents at beginning of period</t>
  </si>
  <si>
    <t>Cash and cash equivalents at end of period</t>
  </si>
  <si>
    <t>Supplemental cash flow information:</t>
  </si>
  <si>
    <t>Cash paid during the year for:</t>
  </si>
  <si>
    <t>Income taxes</t>
  </si>
  <si>
    <t>Non-cash investing activities—Accrued capital expenditures</t>
  </si>
  <si>
    <t>Non-cash investing activities—Accrued tax credit investment installments</t>
  </si>
  <si>
    <t>Adjustments to reconcile net income to net cash provided by operating activities:</t>
  </si>
  <si>
    <t>Total Sales</t>
  </si>
  <si>
    <t>Retail Segment</t>
  </si>
  <si>
    <t>Menus &amp; Venus</t>
  </si>
  <si>
    <t>Retail Segment by Geography</t>
  </si>
  <si>
    <t>Europe &amp; Middle East</t>
  </si>
  <si>
    <t>Wholesale Segment</t>
  </si>
  <si>
    <t>Nuuly Segment</t>
  </si>
  <si>
    <t>Saley by Segment</t>
  </si>
  <si>
    <t>($ in millions)</t>
  </si>
  <si>
    <t>Retail Total</t>
  </si>
  <si>
    <t>Wholesale Total</t>
  </si>
  <si>
    <t>Sales Metrics</t>
  </si>
  <si>
    <t>Urban Outfitters in % of Total Sales</t>
  </si>
  <si>
    <t>Anthropologie (incl. Terrain) in % of Total Sales</t>
  </si>
  <si>
    <t>Menus &amp; Venus in % of Total Sales</t>
  </si>
  <si>
    <t>Nuuly in % of Total Sales</t>
  </si>
  <si>
    <t>Wholesale in % of Total Sales</t>
  </si>
  <si>
    <t>Retail</t>
  </si>
  <si>
    <t>Total Retail in % of Total Sales</t>
  </si>
  <si>
    <t>Urban Outfitters in % of Retail</t>
  </si>
  <si>
    <t>Anthropologie (incl. Terrain) in % of Retail</t>
  </si>
  <si>
    <t>Free People &amp; FP Movement  in % of Retail</t>
  </si>
  <si>
    <t>Menus &amp; Venus in % of Retail</t>
  </si>
  <si>
    <t>Free People &amp; FP Movement in % of Total Sales</t>
  </si>
  <si>
    <t>Q3</t>
  </si>
  <si>
    <t>Q4</t>
  </si>
  <si>
    <t>Q1</t>
  </si>
  <si>
    <t>Q2</t>
  </si>
  <si>
    <t>FY2020</t>
  </si>
  <si>
    <t>FY2021</t>
  </si>
  <si>
    <t>FY2022</t>
  </si>
  <si>
    <t>FY2024</t>
  </si>
  <si>
    <t>FY2025</t>
  </si>
  <si>
    <t>Grand Total</t>
  </si>
  <si>
    <t>Row Labels</t>
  </si>
  <si>
    <t>H&amp;M</t>
  </si>
  <si>
    <t>Zara (Inditex)</t>
  </si>
  <si>
    <t>Uniqlo</t>
  </si>
  <si>
    <t>American Eage Outfitters</t>
  </si>
  <si>
    <t>Abercrombie &amp; Fitch</t>
  </si>
  <si>
    <t>Revenue</t>
  </si>
  <si>
    <t>Benchmarking Analysis</t>
  </si>
  <si>
    <t>Ticker</t>
  </si>
  <si>
    <t>Equity Value</t>
  </si>
  <si>
    <t>Enterprise Value</t>
  </si>
  <si>
    <t>EBIT</t>
  </si>
  <si>
    <t>Net Income</t>
  </si>
  <si>
    <t>Gross Profit (%)</t>
  </si>
  <si>
    <t>EBITDA (%)</t>
  </si>
  <si>
    <t>EBIT (%)</t>
  </si>
  <si>
    <t>Net Income (%)</t>
  </si>
  <si>
    <t>Sales</t>
  </si>
  <si>
    <t>EPS</t>
  </si>
  <si>
    <t>Hist 1-year</t>
  </si>
  <si>
    <t>Est. 1-year</t>
  </si>
  <si>
    <t>Median</t>
  </si>
  <si>
    <t>Market Valuation</t>
  </si>
  <si>
    <t>Growth Rate</t>
  </si>
  <si>
    <t>Predicted Beta</t>
  </si>
  <si>
    <t>ROIC</t>
  </si>
  <si>
    <t>ROE</t>
  </si>
  <si>
    <t>ROA</t>
  </si>
  <si>
    <t>Implied Div. Yield (%)</t>
  </si>
  <si>
    <t>Debt / EBITDA (x)</t>
  </si>
  <si>
    <t>Debt / Tot. Cap. (%)</t>
  </si>
  <si>
    <t>Net Debt / EBITDA (x)</t>
  </si>
  <si>
    <t>EBITDA / Int. Exp. (x)</t>
  </si>
  <si>
    <t>EBITDA / CapEx (x)</t>
  </si>
  <si>
    <t>EBIT / Int. Exp. (x)</t>
  </si>
  <si>
    <t>General</t>
  </si>
  <si>
    <t>Return on Investment</t>
  </si>
  <si>
    <t>URBN (NASDAQ)</t>
  </si>
  <si>
    <t>AFG (FRA)</t>
  </si>
  <si>
    <t>ANF (NYSE)</t>
  </si>
  <si>
    <t>Interest Expense</t>
  </si>
  <si>
    <t>EV / EBITDA</t>
  </si>
  <si>
    <t>Sum</t>
  </si>
  <si>
    <t>Other</t>
  </si>
  <si>
    <t>Tier I: Mid Size Fashion Retailers</t>
  </si>
  <si>
    <t>Tier II: Large Cap Retailers</t>
  </si>
  <si>
    <t>LTM Profitability Margins</t>
  </si>
  <si>
    <t>LTM Coverage Ratios</t>
  </si>
  <si>
    <t>Credit Ratings</t>
  </si>
  <si>
    <t>Moody's</t>
  </si>
  <si>
    <t>S&amp;P</t>
  </si>
  <si>
    <t>B3</t>
  </si>
  <si>
    <t>Current Share Price</t>
  </si>
  <si>
    <t>% of 52-wk. High</t>
  </si>
  <si>
    <t>LTM Sales</t>
  </si>
  <si>
    <t>2025E Sales</t>
  </si>
  <si>
    <t>LTM EBITDA</t>
  </si>
  <si>
    <t>2025E EBITDA</t>
  </si>
  <si>
    <t>LTM EBIT</t>
  </si>
  <si>
    <t>2025E EBIT</t>
  </si>
  <si>
    <t>LTM EBITDA Margin</t>
  </si>
  <si>
    <t>Total Debt / EBITDA</t>
  </si>
  <si>
    <t>Enterprise Value /</t>
  </si>
  <si>
    <t>LTM EPS</t>
  </si>
  <si>
    <t>2025E EPS</t>
  </si>
  <si>
    <t>Price /</t>
  </si>
  <si>
    <t>LTM Int Exp / EBITDA</t>
  </si>
  <si>
    <t>Div Yield</t>
  </si>
  <si>
    <t>FCF Yield</t>
  </si>
  <si>
    <t>Tier III: Luxury Retailers</t>
  </si>
  <si>
    <t>Mean</t>
  </si>
  <si>
    <t>LVMH</t>
  </si>
  <si>
    <t>Hermès</t>
  </si>
  <si>
    <t>Dior</t>
  </si>
  <si>
    <t>EssilorLuxottica</t>
  </si>
  <si>
    <t>Uniqlo (Fast Retailing)</t>
  </si>
  <si>
    <t>Nike</t>
  </si>
  <si>
    <t>Adidas</t>
  </si>
  <si>
    <t>Lululemon Athletica</t>
  </si>
  <si>
    <t>Gap Inc.</t>
  </si>
  <si>
    <t>GPS</t>
  </si>
  <si>
    <t>Prada</t>
  </si>
  <si>
    <t>Levi Strauss</t>
  </si>
  <si>
    <t>LEVI</t>
  </si>
  <si>
    <t>NKE</t>
  </si>
  <si>
    <t>ADS.DE</t>
  </si>
  <si>
    <t>FR7.F</t>
  </si>
  <si>
    <t>LULU</t>
  </si>
  <si>
    <t>HM-B.ST</t>
  </si>
  <si>
    <t>MC.PA</t>
  </si>
  <si>
    <t>RMS.PA</t>
  </si>
  <si>
    <t>IDEXY</t>
  </si>
  <si>
    <t>CDI.PA</t>
  </si>
  <si>
    <t>1913.HK</t>
  </si>
  <si>
    <t>EL.PA</t>
  </si>
  <si>
    <t>Assumptions Page 1 - Income Statement and Cash Flow Statement</t>
  </si>
  <si>
    <t>Projection Period</t>
  </si>
  <si>
    <t>Income Statement Assumptions</t>
  </si>
  <si>
    <t>Sales (% growth)</t>
  </si>
  <si>
    <t xml:space="preserve">   Base</t>
  </si>
  <si>
    <t xml:space="preserve">   Upside</t>
  </si>
  <si>
    <t xml:space="preserve">   Management </t>
  </si>
  <si>
    <t xml:space="preserve">   Downside 1</t>
  </si>
  <si>
    <t xml:space="preserve">   Downside 2</t>
  </si>
  <si>
    <t>Cost of Goods Sold (% sales)</t>
  </si>
  <si>
    <t>SG&amp;A (% sales)</t>
  </si>
  <si>
    <t>Depreciation &amp; Amortization (% sales)</t>
  </si>
  <si>
    <t>Cash Flow Statement Assumptions</t>
  </si>
  <si>
    <t>Capital Expenditures (% of sales)</t>
  </si>
  <si>
    <t>% growth</t>
  </si>
  <si>
    <t>Historical Period</t>
  </si>
  <si>
    <t>CAGR</t>
  </si>
  <si>
    <t>Prior Stub</t>
  </si>
  <si>
    <t>Current Stub</t>
  </si>
  <si>
    <t>('20 - 24')</t>
  </si>
  <si>
    <t>COGS</t>
  </si>
  <si>
    <t>% margin</t>
  </si>
  <si>
    <t>Income Statement Metrics and Assumptions</t>
  </si>
  <si>
    <t>COGS (% sales)</t>
  </si>
  <si>
    <t>Capital Expenditures (% sales)</t>
  </si>
  <si>
    <t>Tax Rate</t>
  </si>
  <si>
    <t>Working Capital (% sales)</t>
  </si>
  <si>
    <t>Interes Expenses (% sales)</t>
  </si>
  <si>
    <t>Depreciation &amp; Amortization</t>
  </si>
  <si>
    <t>Tax rate</t>
  </si>
  <si>
    <t>LTM</t>
  </si>
  <si>
    <t>July 31, 2024</t>
  </si>
  <si>
    <t>July 31, 2023</t>
  </si>
  <si>
    <t>Adjusted Income Statement</t>
  </si>
  <si>
    <t>Reported Gross Profit</t>
  </si>
  <si>
    <t>Non-recurring items in COGS</t>
  </si>
  <si>
    <t>Reported EBIT</t>
  </si>
  <si>
    <t>Other Non-recurring Items</t>
  </si>
  <si>
    <t>Non-recurring Items in COGS</t>
  </si>
  <si>
    <t>Adjusted EBIT</t>
  </si>
  <si>
    <t>Adjusted EBITDA</t>
  </si>
  <si>
    <t>Reported Net Income</t>
  </si>
  <si>
    <t>Non-operating Non-rec. Items</t>
  </si>
  <si>
    <t>Tax Adjustment</t>
  </si>
  <si>
    <t>Adjusted Net Income</t>
  </si>
  <si>
    <t>Adjusted Gross Profit</t>
  </si>
  <si>
    <t>Weighted average diluted total shares outstanding</t>
  </si>
  <si>
    <t>Diluted EPS</t>
  </si>
  <si>
    <t>Adjusted Diluted EPS</t>
  </si>
  <si>
    <t>General Information</t>
  </si>
  <si>
    <t>Company Name</t>
  </si>
  <si>
    <t>Stock Exchange</t>
  </si>
  <si>
    <t>Nasdaq</t>
  </si>
  <si>
    <t>Fiscal Year Ending</t>
  </si>
  <si>
    <t>Moody's Corporate Rating</t>
  </si>
  <si>
    <t>S&amp;P Corporate Rating</t>
  </si>
  <si>
    <t>Marginal Tax Rate</t>
  </si>
  <si>
    <t>Selected Market Data</t>
  </si>
  <si>
    <t>Current Price</t>
  </si>
  <si>
    <t xml:space="preserve">   % of 52-week High</t>
  </si>
  <si>
    <t>52-week High Price</t>
  </si>
  <si>
    <t>52-week Low Price</t>
  </si>
  <si>
    <t>Dividend Per Share (MRQ)</t>
  </si>
  <si>
    <t>Fully Diluted Shares Outstanding</t>
  </si>
  <si>
    <t xml:space="preserve">   Equity Value</t>
  </si>
  <si>
    <t>Plus: Total Debt</t>
  </si>
  <si>
    <t>Plus: Preferred Stock</t>
  </si>
  <si>
    <t>Plus: Noncontrolling Interest</t>
  </si>
  <si>
    <t>Less: Cash and Cash Equivalents</t>
  </si>
  <si>
    <t xml:space="preserve">   Enterprise Value</t>
  </si>
  <si>
    <t>Trading Multiples</t>
  </si>
  <si>
    <t>NFY</t>
  </si>
  <si>
    <t>NFY+1</t>
  </si>
  <si>
    <t>NFY+2</t>
  </si>
  <si>
    <t>EV / Sales</t>
  </si>
  <si>
    <t xml:space="preserve">   Metric</t>
  </si>
  <si>
    <t>EV / EBIT</t>
  </si>
  <si>
    <t>P/E</t>
  </si>
  <si>
    <t>LTM Return on Investment Ratios</t>
  </si>
  <si>
    <t>Return on Invested Capital</t>
  </si>
  <si>
    <t>Return on Equity</t>
  </si>
  <si>
    <t>Return on Assets</t>
  </si>
  <si>
    <t>Implied Annual Dividend Per Share</t>
  </si>
  <si>
    <t>LTM Credit Statistics</t>
  </si>
  <si>
    <t>Debt/Total Capitalization</t>
  </si>
  <si>
    <t>Total Debt/EBITDA</t>
  </si>
  <si>
    <t>Net Debt/EBITDA</t>
  </si>
  <si>
    <t>EBITDA/Interest Expense</t>
  </si>
  <si>
    <t>(EBITDA-capex)/Interest Expense</t>
  </si>
  <si>
    <t>EBIT/Interest Expense</t>
  </si>
  <si>
    <t>Growth Rates</t>
  </si>
  <si>
    <t>FCF</t>
  </si>
  <si>
    <t>Historical</t>
  </si>
  <si>
    <t>1-year</t>
  </si>
  <si>
    <t>2-year CAGR</t>
  </si>
  <si>
    <t>Estimated</t>
  </si>
  <si>
    <t>Long-term</t>
  </si>
  <si>
    <t>Urban Outfitters Inc.</t>
  </si>
  <si>
    <t>UO</t>
  </si>
  <si>
    <t>Calculation of Fully Diluted Shares Outstanding</t>
  </si>
  <si>
    <t>Basic Shares Outstanding</t>
  </si>
  <si>
    <t>Plus: Shares from In-the-Money Options</t>
  </si>
  <si>
    <t>Less: Shares Repurchased</t>
  </si>
  <si>
    <t xml:space="preserve">   Net New Shares from Options</t>
  </si>
  <si>
    <t>Plus: Shares from Convertible Securities</t>
  </si>
  <si>
    <t xml:space="preserve">                    - </t>
  </si>
  <si>
    <t xml:space="preserve">   Fully Diluted Shares Outstanding</t>
  </si>
  <si>
    <t>Options/Warrants</t>
  </si>
  <si>
    <t>Number of</t>
  </si>
  <si>
    <t>Exercise</t>
  </si>
  <si>
    <t>In-the-Money</t>
  </si>
  <si>
    <t>Tranche</t>
  </si>
  <si>
    <t>Shares</t>
  </si>
  <si>
    <t>Price</t>
  </si>
  <si>
    <t>Proceeds</t>
  </si>
  <si>
    <t>Tranche 1</t>
  </si>
  <si>
    <t>Tranche 2</t>
  </si>
  <si>
    <t>Tranche 3</t>
  </si>
  <si>
    <t>Tranche 4</t>
  </si>
  <si>
    <t>Tranche 5</t>
  </si>
  <si>
    <t xml:space="preserve">   Total</t>
  </si>
  <si>
    <t>Convertible Securities</t>
  </si>
  <si>
    <t>Conversion</t>
  </si>
  <si>
    <t xml:space="preserve">Conversion </t>
  </si>
  <si>
    <t xml:space="preserve">New </t>
  </si>
  <si>
    <t>Amount</t>
  </si>
  <si>
    <t>Ratio</t>
  </si>
  <si>
    <t>Issue 1</t>
  </si>
  <si>
    <t>Issue 2</t>
  </si>
  <si>
    <t>Issue 3</t>
  </si>
  <si>
    <t>Issue 4</t>
  </si>
  <si>
    <t>Issue 5</t>
  </si>
  <si>
    <t>Assumptions Page 2 - Balance Sheet</t>
  </si>
  <si>
    <t>Current Assets</t>
  </si>
  <si>
    <t>Days Sales Outstanding (DSO)</t>
  </si>
  <si>
    <t>Days Inventory Held (DIH)</t>
  </si>
  <si>
    <t>Prepaid and Other Current Assets (% of sales)</t>
  </si>
  <si>
    <t>Current Liabilities</t>
  </si>
  <si>
    <t>Days Payable Outstanding (DPO)</t>
  </si>
  <si>
    <t>Accrued Liabilities (% of sales)</t>
  </si>
  <si>
    <t>Other Current Liabilities (% of sales)</t>
  </si>
  <si>
    <t>Risk free rate</t>
  </si>
  <si>
    <t>Current price</t>
  </si>
  <si>
    <t>52-wk. High</t>
  </si>
  <si>
    <t>52-wk. Low</t>
  </si>
  <si>
    <t>Notes</t>
  </si>
  <si>
    <t>1)</t>
  </si>
  <si>
    <t>2)</t>
  </si>
  <si>
    <t>3)</t>
  </si>
  <si>
    <t>4)</t>
  </si>
  <si>
    <t>5)</t>
  </si>
  <si>
    <t>Discounted Cash Flow Analysis &amp; Comps</t>
  </si>
  <si>
    <t>Operating Scenario</t>
  </si>
  <si>
    <t>Interest Expenses (% of sales)</t>
  </si>
  <si>
    <t>Tax Rate (% of EBT)</t>
  </si>
  <si>
    <t>Figure</t>
  </si>
  <si>
    <t>Value</t>
  </si>
  <si>
    <t>Weighted Average Cost of Capital Analysis</t>
  </si>
  <si>
    <t>WACC Calculation</t>
  </si>
  <si>
    <t>Comparable Companies Unlevered Beta</t>
  </si>
  <si>
    <t>Target Capital Structure</t>
  </si>
  <si>
    <t>Predicted</t>
  </si>
  <si>
    <t xml:space="preserve">Market </t>
  </si>
  <si>
    <t>Debt/</t>
  </si>
  <si>
    <t>Marginal</t>
  </si>
  <si>
    <t>Unlevered</t>
  </si>
  <si>
    <t>Debt-to-Total Capitalization</t>
  </si>
  <si>
    <t>Company</t>
  </si>
  <si>
    <t>Levered Beta</t>
  </si>
  <si>
    <t>Value of Debt</t>
  </si>
  <si>
    <t>Value of Equity</t>
  </si>
  <si>
    <t>Beta</t>
  </si>
  <si>
    <t>Equity-to-Total Capitalization</t>
  </si>
  <si>
    <t>Cost of Debt</t>
  </si>
  <si>
    <t>Cost-of-Debt</t>
  </si>
  <si>
    <t xml:space="preserve">   After-tax Cost of Debt</t>
  </si>
  <si>
    <t xml:space="preserve">Mean </t>
  </si>
  <si>
    <t>Cost of Equity</t>
  </si>
  <si>
    <t>Risk-free Rate (1)</t>
  </si>
  <si>
    <t>Target</t>
  </si>
  <si>
    <t>Market Risk Premium (2)</t>
  </si>
  <si>
    <t>Relevered</t>
  </si>
  <si>
    <t>Size Premium (3)</t>
  </si>
  <si>
    <t>Relevered Beta</t>
  </si>
  <si>
    <t xml:space="preserve">   Cost of Equity</t>
  </si>
  <si>
    <t>WACC Sensitivity Analysis</t>
  </si>
  <si>
    <t xml:space="preserve">   WACC</t>
  </si>
  <si>
    <t>Working Capital Projections</t>
  </si>
  <si>
    <t>Cost of Goods Sold</t>
  </si>
  <si>
    <t>Accounts Receivable</t>
  </si>
  <si>
    <t>Inventories</t>
  </si>
  <si>
    <t>Prepaid Expenses and Other</t>
  </si>
  <si>
    <t xml:space="preserve">   Total Current Assets</t>
  </si>
  <si>
    <t>Accounts Payable</t>
  </si>
  <si>
    <t>Accrued Liabilities</t>
  </si>
  <si>
    <t xml:space="preserve">   Total Current Liabilities</t>
  </si>
  <si>
    <t xml:space="preserve">   Net Working Capital</t>
  </si>
  <si>
    <t xml:space="preserve">   % sales</t>
  </si>
  <si>
    <t>Assumptions</t>
  </si>
  <si>
    <t>Days Sales Outstanding</t>
  </si>
  <si>
    <t>Days Inventory Held</t>
  </si>
  <si>
    <t>Prepaids and Other CA (% of sales)</t>
  </si>
  <si>
    <t>Days Payable Outstanding</t>
  </si>
  <si>
    <t>American Eagle Outfitters</t>
  </si>
  <si>
    <t>Plus: Depreciation &amp; Amortization</t>
  </si>
  <si>
    <t>Less: Capital Expenditures</t>
  </si>
  <si>
    <t>Less: Change in Net Working Capital</t>
  </si>
  <si>
    <t>Unlevered Free Cash Flow</t>
  </si>
  <si>
    <t>WACC</t>
  </si>
  <si>
    <t>Discount Period</t>
  </si>
  <si>
    <t>Discount Factor</t>
  </si>
  <si>
    <t>Present Value of Free Cash Flow</t>
  </si>
  <si>
    <t>Mid-Year Convention</t>
  </si>
  <si>
    <t>No</t>
  </si>
  <si>
    <t>Comparable Companies Analysis</t>
  </si>
  <si>
    <t>($ in thousands, except share and per share data, fiscal year ending January 31)</t>
  </si>
  <si>
    <t>($ in thousands)</t>
  </si>
  <si>
    <t>(1) Current deposit facility rate of European Central Bank</t>
  </si>
  <si>
    <t>Implied Equity Value and Share Price</t>
  </si>
  <si>
    <t>Implied Perpetuity Growth Rate</t>
  </si>
  <si>
    <t>Cumulative Present Value of FCF</t>
  </si>
  <si>
    <t>Terminal Year Free Cash Flow (2024E)</t>
  </si>
  <si>
    <t>Less: Total Debt</t>
  </si>
  <si>
    <t>Terminal Value</t>
  </si>
  <si>
    <t>Less: Preferred Stock</t>
  </si>
  <si>
    <t>Terminal Year EBITDA (2024E)</t>
  </si>
  <si>
    <t>Less: Noncontrolling Interest</t>
  </si>
  <si>
    <t>Exit Multiple</t>
  </si>
  <si>
    <t>Plus: Cash and Cash Equivalents</t>
  </si>
  <si>
    <t xml:space="preserve">   Terminal Value</t>
  </si>
  <si>
    <t xml:space="preserve"> </t>
  </si>
  <si>
    <t xml:space="preserve">   Implied Equity Value</t>
  </si>
  <si>
    <t>Implied EV/EBITDA</t>
  </si>
  <si>
    <t xml:space="preserve">   Present Value of Terminal Value</t>
  </si>
  <si>
    <t xml:space="preserve">   % of Enterprise Value</t>
  </si>
  <si>
    <t>LTM 9/30/2012 EBITDA</t>
  </si>
  <si>
    <t xml:space="preserve">   Implied Share Price</t>
  </si>
  <si>
    <t xml:space="preserve">             $59.45</t>
  </si>
  <si>
    <t xml:space="preserve">                  4.6x</t>
  </si>
  <si>
    <t>6.5x</t>
  </si>
  <si>
    <t>7.0x</t>
  </si>
  <si>
    <t>7.5x</t>
  </si>
  <si>
    <t>8.0x</t>
  </si>
  <si>
    <t>8.5x</t>
  </si>
  <si>
    <t>$3,225</t>
  </si>
  <si>
    <t>% of Enterprise Value</t>
  </si>
  <si>
    <t>Implied Share Price</t>
  </si>
  <si>
    <t>Upside/Downside</t>
  </si>
  <si>
    <t>Balance Sheet Metric</t>
  </si>
  <si>
    <t>Invested Capital</t>
  </si>
  <si>
    <t>LTM Financial Statistics</t>
  </si>
  <si>
    <t>LTM Leverage Ratios</t>
  </si>
  <si>
    <t>Debt/Equity</t>
  </si>
  <si>
    <t>EBITDA Margin</t>
  </si>
  <si>
    <t>Net Debt / EBITDA</t>
  </si>
  <si>
    <t>Costs Breakdown</t>
  </si>
  <si>
    <t>Interest</t>
  </si>
  <si>
    <t>Taxes</t>
  </si>
  <si>
    <t>Revenue Growth</t>
  </si>
  <si>
    <t>Profitability</t>
  </si>
  <si>
    <t>EBITDA margin</t>
  </si>
  <si>
    <t>EBIT margin</t>
  </si>
  <si>
    <t>Net Income margin</t>
  </si>
  <si>
    <t>Liquidity</t>
  </si>
  <si>
    <t>Current Ratio</t>
  </si>
  <si>
    <t>Quick Ratio</t>
  </si>
  <si>
    <t>Cash Ratio</t>
  </si>
  <si>
    <t>Financial Leverage</t>
  </si>
  <si>
    <t>Long-term Debt/Assets</t>
  </si>
  <si>
    <t>Long-term Debt/Equity</t>
  </si>
  <si>
    <t>Shareholder Ratios</t>
  </si>
  <si>
    <t>Multiples</t>
  </si>
  <si>
    <t>EV/Sales</t>
  </si>
  <si>
    <t>EV/EBITDA</t>
  </si>
  <si>
    <t>EV/EBIT</t>
  </si>
  <si>
    <t>Projection period</t>
  </si>
  <si>
    <t>Dividend Payout Ratio</t>
  </si>
  <si>
    <t>URBN</t>
  </si>
  <si>
    <t>Yes</t>
  </si>
  <si>
    <t>Balance Sheet &amp; Projections</t>
  </si>
  <si>
    <t>Cash Flow Statement &amp; Projections</t>
  </si>
  <si>
    <t>Nordstrom</t>
  </si>
  <si>
    <t>Zumeiz Inc.</t>
  </si>
  <si>
    <t>Express Inc.</t>
  </si>
  <si>
    <t>TJX Companies</t>
  </si>
  <si>
    <t>Inditex</t>
  </si>
  <si>
    <t>L Brands</t>
  </si>
  <si>
    <t>Forever 21</t>
  </si>
  <si>
    <t>ASOS</t>
  </si>
  <si>
    <t>Boohoo Group</t>
  </si>
  <si>
    <t>Levi Strauss &amp; Co.</t>
  </si>
  <si>
    <t>Madewell</t>
  </si>
  <si>
    <t>Lululeom Athletica</t>
  </si>
  <si>
    <t>Primark</t>
  </si>
  <si>
    <t>J.Crew</t>
  </si>
  <si>
    <t>Mango</t>
  </si>
  <si>
    <t>Revolve Group</t>
  </si>
  <si>
    <t>Tilly's Inc.</t>
  </si>
  <si>
    <t>Buckle Inc.</t>
  </si>
  <si>
    <t>Year</t>
  </si>
  <si>
    <t>U.S. Consumer Credit Card Debt</t>
  </si>
  <si>
    <t>Code</t>
  </si>
  <si>
    <t>ISIN</t>
  </si>
  <si>
    <t>CURRENCY</t>
  </si>
  <si>
    <t>URBAN OUTFITTERS - MARKET VALUE</t>
  </si>
  <si>
    <t>@URBN(MV)~U$</t>
  </si>
  <si>
    <t>US9170471026</t>
  </si>
  <si>
    <t>U$</t>
  </si>
  <si>
    <t>URBAN OUTFITTERS - PER</t>
  </si>
  <si>
    <t>@URBN(PE)</t>
  </si>
  <si>
    <t>URBAN OUTFITTERS - 12MTH FORWARD EPS</t>
  </si>
  <si>
    <t>@URBN(EPS1FD12)~U$</t>
  </si>
  <si>
    <t>URBAN OUTFITTERS</t>
  </si>
  <si>
    <t>529E(@URBN)</t>
  </si>
  <si>
    <t>384E(@URBN)</t>
  </si>
  <si>
    <t>380E(@URBN)</t>
  </si>
  <si>
    <t>157E(@URBN)</t>
  </si>
  <si>
    <t>388E(@URBN)</t>
  </si>
  <si>
    <t>334E(@URBN)</t>
  </si>
  <si>
    <t>338E(@URBN)</t>
  </si>
  <si>
    <t>251E(@URBN)</t>
  </si>
  <si>
    <t>250E(@URBN)</t>
  </si>
  <si>
    <t>553E(@URBN)</t>
  </si>
  <si>
    <t>URBAN OUTFITTERS - 12MTH TRAILING EPS</t>
  </si>
  <si>
    <t>@URBN(EPS1TR12)~U$</t>
  </si>
  <si>
    <t>URBAN OUTFITTERS - DIV.PER SHR.</t>
  </si>
  <si>
    <t>@URBN(DPS)~U$</t>
  </si>
  <si>
    <t>354E(@URBN)</t>
  </si>
  <si>
    <t>URBAN OUTFITTERS - EARNINGS PER SHR</t>
  </si>
  <si>
    <t>@URBN(EPS)~U$</t>
  </si>
  <si>
    <t>897E(@URBN)</t>
  </si>
  <si>
    <t>400E(@URBN)</t>
  </si>
  <si>
    <t>URBAN OUTFITTERS - ACCOUNTS PAYABLE</t>
  </si>
  <si>
    <t>@URBN(WC03040)~U$</t>
  </si>
  <si>
    <t>URBAN OUTFITTERS - AMORT &amp; IMPAIR OF GOODWILL</t>
  </si>
  <si>
    <t>@URBN(WC18224)~U$</t>
  </si>
  <si>
    <t>URBAN OUTFITTERS - AMORTIZATION OF DEFERRED CHARG</t>
  </si>
  <si>
    <t>@URBN(WC01150)~U$</t>
  </si>
  <si>
    <t>URBAN OUTFITTERS - BOOK VALUE-OUT SHARES-FISCAL</t>
  </si>
  <si>
    <t>@URBN(WC05491)~U$</t>
  </si>
  <si>
    <t>URBAN OUTFITTERS - BOOK VALUE PER SHARE</t>
  </si>
  <si>
    <t>@URBN(WC05476)~U$</t>
  </si>
  <si>
    <t>URBAN OUTFITTERS - CAPITAL EXPENDITURES</t>
  </si>
  <si>
    <t>@URBN(WC04601)~U$</t>
  </si>
  <si>
    <t>URBAN OUTFITTERS - CASH</t>
  </si>
  <si>
    <t>@URBN(WC02003)~U$</t>
  </si>
  <si>
    <t>URBAN OUTFITTERS - CASH - GENERIC</t>
  </si>
  <si>
    <t>@URBN(WC02005)~U$</t>
  </si>
  <si>
    <t>URBAN OUTFITTERS - CASH &amp; SHORT TERM INVESTMENTS</t>
  </si>
  <si>
    <t>@URBN(WC02001)~U$</t>
  </si>
  <si>
    <t>URBAN OUTFITTERS - CASH DIVIDENDS PAID - TOTAL</t>
  </si>
  <si>
    <t>@URBN(WC04551)~U$</t>
  </si>
  <si>
    <t>URBAN OUTFITTERS - CASH FLOW PER SHARE</t>
  </si>
  <si>
    <t>@URBN(WC05501)~U$</t>
  </si>
  <si>
    <t>URBAN OUTFITTERS - CASH FLOW PER SHARE - FIS YR</t>
  </si>
  <si>
    <t>@URBN(WC05502)~U$</t>
  </si>
  <si>
    <t>URBAN OUTFITTERS - COMMON DIVIDENDS (CASH)</t>
  </si>
  <si>
    <t>@URBN(WC05376)~U$</t>
  </si>
  <si>
    <t>URBAN OUTFITTERS - COMMON SHAREHOLDERS' EQUITY</t>
  </si>
  <si>
    <t>@URBN(WC03501)~U$</t>
  </si>
  <si>
    <t>URBAN OUTFITTERS - COMMON STOCK</t>
  </si>
  <si>
    <t>@URBN(WC03480)~U$</t>
  </si>
  <si>
    <t>URBAN OUTFITTERS - COST OF GOODS SOLD (EXCL DEP)</t>
  </si>
  <si>
    <t>@URBN(WC01051)~U$</t>
  </si>
  <si>
    <t>URBAN OUTFITTERS - CURRENT ASSETS - TOTAL</t>
  </si>
  <si>
    <t>@URBN(WC02201)~U$</t>
  </si>
  <si>
    <t>URBAN OUTFITTERS - CURRENT LIABILITIES-TOTAL</t>
  </si>
  <si>
    <t>@URBN(WC03101)~U$</t>
  </si>
  <si>
    <t>URBAN OUTFITTERS - DEFERRED TAXES</t>
  </si>
  <si>
    <t>@URBN(WC03263)~U$</t>
  </si>
  <si>
    <t>URBAN OUTFITTERS - DEPRECIATION AND DEPLETION</t>
  </si>
  <si>
    <t>@URBN(WC04049)~U$</t>
  </si>
  <si>
    <t>URBAN OUTFITTERS - DEPRECIATION/DEPLETION/AMORT</t>
  </si>
  <si>
    <t>@URBN(WC01151)~U$</t>
  </si>
  <si>
    <t>URBAN OUTFITTERS - DIVIDENDS PER SHARE</t>
  </si>
  <si>
    <t>@URBN(WC05101)~U$</t>
  </si>
  <si>
    <t>URBAN OUTFITTERS - DIVIDENDS PER SHARE - FISCAL</t>
  </si>
  <si>
    <t>@URBN(WC05110)~U$</t>
  </si>
  <si>
    <t>URBAN OUTFITTERS - EARNINGS BEF INTEREST &amp; TAXES</t>
  </si>
  <si>
    <t>@URBN(WC18191)~U$</t>
  </si>
  <si>
    <t>URBAN OUTFITTERS - EBIT &amp; DEPRECIATION</t>
  </si>
  <si>
    <t>@URBN(WC18198)~U$</t>
  </si>
  <si>
    <t>URBAN OUTFITTERS - EARNINGS PER SHARE</t>
  </si>
  <si>
    <t>@URBN(WC05201)~U$</t>
  </si>
  <si>
    <t>URBAN OUTFITTERS - FISCAL EPS-FULLY DILUTED-YR</t>
  </si>
  <si>
    <t>@URBN(WC10030)~U$</t>
  </si>
  <si>
    <t>URBAN OUTFITTERS - ENTERPRISE VALUE</t>
  </si>
  <si>
    <t>@URBN(WC18100)~U$</t>
  </si>
  <si>
    <t>URBAN OUTFITTERS - GROSS INCOME</t>
  </si>
  <si>
    <t>@URBN(WC01100)~U$</t>
  </si>
  <si>
    <t>URBAN OUTFITTERS - IMPAIRMENT OF GOODWILL</t>
  </si>
  <si>
    <t>@URBN(WC18225)~U$</t>
  </si>
  <si>
    <t>URBAN OUTFITTERS - INCOME TAXES</t>
  </si>
  <si>
    <t>@URBN(WC01451)~U$</t>
  </si>
  <si>
    <t>URBAN OUTFITTERS - INCREASE/DECREASE IN CASH/SHOR</t>
  </si>
  <si>
    <t>@URBN(WC04851)~U$</t>
  </si>
  <si>
    <t>URBAN OUTFITTERS - INTEREST EXPENSE ON DEBT</t>
  </si>
  <si>
    <t>@URBN(WC01251)~U$</t>
  </si>
  <si>
    <t>URBAN OUTFITTERS - TOTAL INVENTORIES</t>
  </si>
  <si>
    <t>@URBN(WC02101)~U$</t>
  </si>
  <si>
    <t>URBAN OUTFITTERS - LONG TERM DEBT</t>
  </si>
  <si>
    <t>@URBN(WC03251)~U$</t>
  </si>
  <si>
    <t>URBAN OUTFITTERS - MARKET CAPITALIZATION</t>
  </si>
  <si>
    <t>@URBN(WC08001)~U$</t>
  </si>
  <si>
    <t>URBAN OUTFITTERS - NET CASH FLOW - FINANCING</t>
  </si>
  <si>
    <t>@URBN(WC04890)~U$</t>
  </si>
  <si>
    <t>URBAN OUTFITTERS - NET CASH FLOW - INVESTING</t>
  </si>
  <si>
    <t>@URBN(WC04870)~U$</t>
  </si>
  <si>
    <t>URBAN OUTFITTERS - NET CASH FLOW-OPERATING ACTIVS</t>
  </si>
  <si>
    <t>@URBN(WC04860)~U$</t>
  </si>
  <si>
    <t>URBAN OUTFITTERS - NET DEBT</t>
  </si>
  <si>
    <t>@URBN(WC18199)~U$</t>
  </si>
  <si>
    <t>URBAN OUTFITTERS - NET INCOME - DILUTED</t>
  </si>
  <si>
    <t>@URBN(WC01705)~U$</t>
  </si>
  <si>
    <t>URBAN OUTFITTERS - NET SALES OR REVENUES</t>
  </si>
  <si>
    <t>@URBN(WC01001)~U$</t>
  </si>
  <si>
    <t>URBAN OUTFITTERS - NON-OPERATING INTEREST INCOME</t>
  </si>
  <si>
    <t>@URBN(WC01266)~U$</t>
  </si>
  <si>
    <t>URBAN OUTFITTERS - OPERATING EXPENSES - TOTAL</t>
  </si>
  <si>
    <t>@URBN(WC01249)~U$</t>
  </si>
  <si>
    <t>URBAN OUTFITTERS - OPERATING INCOME</t>
  </si>
  <si>
    <t>@URBN(WC01250)~U$</t>
  </si>
  <si>
    <t>URBAN OUTFITTERS - PRETAX INCOME</t>
  </si>
  <si>
    <t>@URBN(WC01401)~U$</t>
  </si>
  <si>
    <t>URBAN OUTFITTERS - PROPERTY, PLANT &amp; EQUIP - NET</t>
  </si>
  <si>
    <t>@URBN(WC02501)~U$</t>
  </si>
  <si>
    <t>URBAN OUTFITTERS - RECEIVABLES(NET)</t>
  </si>
  <si>
    <t>@URBN(WC02051)~U$</t>
  </si>
  <si>
    <t>URBAN OUTFITTERS - SELLING, GENERAL &amp; ADMINISTRAT</t>
  </si>
  <si>
    <t>@URBN(WC01101)~U$</t>
  </si>
  <si>
    <t>URBAN OUTFITTERS - SHORT TERM DEBT &amp; CURRENT PORT</t>
  </si>
  <si>
    <t>@URBN(WC03051)~U$</t>
  </si>
  <si>
    <t>URBAN OUTFITTERS - TOTAL ASSETS</t>
  </si>
  <si>
    <t>@URBN(WC02999)~U$</t>
  </si>
  <si>
    <t>URBAN OUTFITTERS - TOTAL CAPITAL</t>
  </si>
  <si>
    <t>@URBN(WC03998)~U$</t>
  </si>
  <si>
    <t>URBAN OUTFITTERS - TOTAL DEBT</t>
  </si>
  <si>
    <t>@URBN(WC03255)~U$</t>
  </si>
  <si>
    <t>URBAN OUTFITTERS - TOTAL INTANGIBLE OT ASSETS-NET</t>
  </si>
  <si>
    <t>@URBN(WC02649)~U$</t>
  </si>
  <si>
    <t>URBAN OUTFITTERS - TOTAL LIABILITIES</t>
  </si>
  <si>
    <t>@URBN(WC03351)~U$</t>
  </si>
  <si>
    <t>URBAN OUTFITTERS - TOTAL LIABILITIES &amp; SHAREHOLDE</t>
  </si>
  <si>
    <t>@URBN(WC03999)~U$</t>
  </si>
  <si>
    <t>URBAN OUTFITTERS - TOTAL SHAREHOLDERS EQUITY</t>
  </si>
  <si>
    <t>@URBN(WC03995)~U$</t>
  </si>
  <si>
    <t>URBAN OUTFITTERS - WORKING CAPITAL</t>
  </si>
  <si>
    <t>@URBN(WC03151)~U$</t>
  </si>
  <si>
    <t>URBAN OUTFITTERS - BK VAL PS 12M FWD</t>
  </si>
  <si>
    <t>@URBN(DIBV)~U$</t>
  </si>
  <si>
    <t>URBAN OUTFITTERS - EV 12M FWD</t>
  </si>
  <si>
    <t>@URBN(DIEV)~U$</t>
  </si>
  <si>
    <t>URBAN OUTFITTERS - NET INCOME 12M FWD</t>
  </si>
  <si>
    <t>@URBN(DINI)~U$</t>
  </si>
  <si>
    <t>URBAN OUTFITTERS - PRETAX PRF 12M FWD</t>
  </si>
  <si>
    <t>@URBN(DINP)~U$</t>
  </si>
  <si>
    <t>URBAN OUTFITTERS - ROE 12M FWD</t>
  </si>
  <si>
    <t>@URBN(DIRE)~U$</t>
  </si>
  <si>
    <t>URBAN OUTFITTERS - SALES 12M FWD</t>
  </si>
  <si>
    <t>@URBN(DISL)~U$</t>
  </si>
  <si>
    <t>URBAN OUTFITTERS - DECREASE/INCREASE RECEIVABLES</t>
  </si>
  <si>
    <t>@URBN(WC04825)~U$</t>
  </si>
  <si>
    <t>URBAN OUTFITTERS - DECREASE/INCR OTH ASTS/LIABILT</t>
  </si>
  <si>
    <t>@URBN(WC04830)~U$</t>
  </si>
  <si>
    <t>URBAN OUTFITTERS - DECREASE/INCREASE INVENTORIES</t>
  </si>
  <si>
    <t>@URBN(WC04826)~U$</t>
  </si>
  <si>
    <t>URBAN OUTFITTERS - DECREASE IN INVESTMENTS</t>
  </si>
  <si>
    <t>@URBN(WC04440)~U$</t>
  </si>
  <si>
    <t>INDITEX (XET) - MARKET VALUE</t>
  </si>
  <si>
    <t>D:IXD1X(MV)~U$</t>
  </si>
  <si>
    <t>ES0148396007</t>
  </si>
  <si>
    <t>INDITEX (XET) - PER</t>
  </si>
  <si>
    <t>D:IXD1X(PE)</t>
  </si>
  <si>
    <t>E</t>
  </si>
  <si>
    <t>INDITEX (XET) - 12MTH FORWARD EPS</t>
  </si>
  <si>
    <t>D:IXD1X(EPS1FD12)~U$</t>
  </si>
  <si>
    <t>INDITEX (XET)</t>
  </si>
  <si>
    <t>529E(D:IXD1X)</t>
  </si>
  <si>
    <t>384E(D:IXD1X)</t>
  </si>
  <si>
    <t>380E(D:IXD1X)</t>
  </si>
  <si>
    <t>157E(D:IXD1X)</t>
  </si>
  <si>
    <t>388E(D:IXD1X)</t>
  </si>
  <si>
    <t>334E(D:IXD1X)</t>
  </si>
  <si>
    <t>338E(D:IXD1X)</t>
  </si>
  <si>
    <t>251E(D:IXD1X)</t>
  </si>
  <si>
    <t>250E(D:IXD1X)</t>
  </si>
  <si>
    <t>553E(D:IXD1X)</t>
  </si>
  <si>
    <t>INDITEX (XET) - 12MTH TRAILING EPS</t>
  </si>
  <si>
    <t>D:IXD1X(EPS1TR12)~U$</t>
  </si>
  <si>
    <t>INDITEX (XET) - DIV.PER SHR.</t>
  </si>
  <si>
    <t>D:IXD1X(DPS)~U$</t>
  </si>
  <si>
    <t>354E(D:IXD1X)</t>
  </si>
  <si>
    <t>INDITEX (XET) - EARNINGS PER SHR</t>
  </si>
  <si>
    <t>D:IXD1X(EPS)~U$</t>
  </si>
  <si>
    <t>897E(D:IXD1X)</t>
  </si>
  <si>
    <t>400E(D:IXD1X)</t>
  </si>
  <si>
    <t>INDUSTRI - ACCOUNTS PAYABLE</t>
  </si>
  <si>
    <t>D:IXD1X(WC03040)~U$</t>
  </si>
  <si>
    <t>INDUSTRI - AMORTIZATION OF DEFERRED CHARG</t>
  </si>
  <si>
    <t>D:IXD1X(WC01150)~U$</t>
  </si>
  <si>
    <t>INDUSTRI - AMORTIZATION-INTANGIBLE ASSETS</t>
  </si>
  <si>
    <t>D:IXD1X(WC04050)~U$</t>
  </si>
  <si>
    <t>INDUSTRI - AMORTIZATION OF INTANGIBLES</t>
  </si>
  <si>
    <t>D:IXD1X(WC01149)~U$</t>
  </si>
  <si>
    <t>INDUSTRI - BOOK VALUE-OUT SHARES-FISCAL</t>
  </si>
  <si>
    <t>D:IXD1X(WC05491)~U$</t>
  </si>
  <si>
    <t>INDUSTRI - BOOK VALUE PER SHARE</t>
  </si>
  <si>
    <t>D:IXD1X(WC05476)~U$</t>
  </si>
  <si>
    <t>INDUSTRI - CAPITAL EXPENDITURES</t>
  </si>
  <si>
    <t>D:IXD1X(WC04601)~U$</t>
  </si>
  <si>
    <t>INDUSTRI - CASH</t>
  </si>
  <si>
    <t>D:IXD1X(WC02003)~U$</t>
  </si>
  <si>
    <t>INDUSTRI - CASH - GENERIC</t>
  </si>
  <si>
    <t>D:IXD1X(WC02005)~U$</t>
  </si>
  <si>
    <t>INDUSTRI - CASH &amp; SHORT TERM INVESTMENTS</t>
  </si>
  <si>
    <t>D:IXD1X(WC02001)~U$</t>
  </si>
  <si>
    <t>INDUSTRI - CASH DIVIDENDS PAID - TOTAL</t>
  </si>
  <si>
    <t>D:IXD1X(WC04551)~U$</t>
  </si>
  <si>
    <t>INDUSTRI - CASH FLOW PER SHARE</t>
  </si>
  <si>
    <t>D:IXD1X(WC05501)~U$</t>
  </si>
  <si>
    <t>INDUSTRI - CASH FLOW PER SHARE - FIS YR</t>
  </si>
  <si>
    <t>D:IXD1X(WC05502)~U$</t>
  </si>
  <si>
    <t>INDUSTRI - COMMON DIVIDENDS (CASH)</t>
  </si>
  <si>
    <t>D:IXD1X(WC05376)~U$</t>
  </si>
  <si>
    <t>INDUSTRI - COMMON SHAREHOLDERS' EQUITY</t>
  </si>
  <si>
    <t>D:IXD1X(WC03501)~U$</t>
  </si>
  <si>
    <t>INDUSTRI - COMMON STOCK</t>
  </si>
  <si>
    <t>D:IXD1X(WC03480)~U$</t>
  </si>
  <si>
    <t>INDUSTRI - COST OF GOODS SOLD (EXCL DEP)</t>
  </si>
  <si>
    <t>D:IXD1X(WC01051)~U$</t>
  </si>
  <si>
    <t>INDUSTRI - CURRENT ASSETS - TOTAL</t>
  </si>
  <si>
    <t>D:IXD1X(WC02201)~U$</t>
  </si>
  <si>
    <t>INDUSTRI - CURRENT LIABILITIES-TOTAL</t>
  </si>
  <si>
    <t>D:IXD1X(WC03101)~U$</t>
  </si>
  <si>
    <t>INDUSTRI - DEFERRED TAXES</t>
  </si>
  <si>
    <t>D:IXD1X(WC03263)~U$</t>
  </si>
  <si>
    <t>INDUSTRI - DEPRECIATION AND DEPLETION</t>
  </si>
  <si>
    <t>D:IXD1X(WC04049)~U$</t>
  </si>
  <si>
    <t>INDUSTRI - DEPRECIATION/DEPLETION/AMORT</t>
  </si>
  <si>
    <t>D:IXD1X(WC01151)~U$</t>
  </si>
  <si>
    <t>INDUSTRI - DIVIDENDS PER SHARE</t>
  </si>
  <si>
    <t>D:IXD1X(WC05101)~U$</t>
  </si>
  <si>
    <t>INDUSTRI - DIVIDENDS PER SHARE - FISCAL</t>
  </si>
  <si>
    <t>D:IXD1X(WC05110)~U$</t>
  </si>
  <si>
    <t>INDUSTRI - EARNINGS BEF INTEREST &amp; TAXES</t>
  </si>
  <si>
    <t>D:IXD1X(WC18191)~U$</t>
  </si>
  <si>
    <t>INDUSTRI - EBIT &amp; DEPRECIATION</t>
  </si>
  <si>
    <t>D:IXD1X(WC18198)~U$</t>
  </si>
  <si>
    <t>INDUSTRI - EARNINGS PER SHARE</t>
  </si>
  <si>
    <t>D:IXD1X(WC05201)~U$</t>
  </si>
  <si>
    <t>INDUSTRI - FISCAL EPS-FULLY DILUTED-YR</t>
  </si>
  <si>
    <t>D:IXD1X(WC10030)~U$</t>
  </si>
  <si>
    <t>INDUSTRI - ENTERPRISE VALUE</t>
  </si>
  <si>
    <t>D:IXD1X(WC18100)~U$</t>
  </si>
  <si>
    <t>INDUSTRI - GROSS INCOME</t>
  </si>
  <si>
    <t>D:IXD1X(WC01100)~U$</t>
  </si>
  <si>
    <t>INDUSTRI - INCOME TAXES</t>
  </si>
  <si>
    <t>D:IXD1X(WC01451)~U$</t>
  </si>
  <si>
    <t>INDUSTRI - INCREASE/DECREASE IN CASH/SHOR</t>
  </si>
  <si>
    <t>D:IXD1X(WC04851)~U$</t>
  </si>
  <si>
    <t>INDUSTRI - INTEREST EXPENSE ON DEBT</t>
  </si>
  <si>
    <t>D:IXD1X(WC01251)~U$</t>
  </si>
  <si>
    <t>INDUSTRI - TOTAL INVENTORIES</t>
  </si>
  <si>
    <t>D:IXD1X(WC02101)~U$</t>
  </si>
  <si>
    <t>INDUSTRI - LONG TERM DEBT</t>
  </si>
  <si>
    <t>D:IXD1X(WC03251)~U$</t>
  </si>
  <si>
    <t>INDUSTRI - MARKET CAPITALIZATION</t>
  </si>
  <si>
    <t>D:IXD1X(WC08001)~U$</t>
  </si>
  <si>
    <t>INDUSTRI - NET CASH FLOW - FINANCING</t>
  </si>
  <si>
    <t>D:IXD1X(WC04890)~U$</t>
  </si>
  <si>
    <t>INDUSTRI - NET CASH FLOW - INVESTING</t>
  </si>
  <si>
    <t>D:IXD1X(WC04870)~U$</t>
  </si>
  <si>
    <t>INDUSTRI - NET CASH FLOW-OPERATING ACTIVS</t>
  </si>
  <si>
    <t>D:IXD1X(WC04860)~U$</t>
  </si>
  <si>
    <t>INDUSTRI - NET DEBT</t>
  </si>
  <si>
    <t>D:IXD1X(WC18199)~U$</t>
  </si>
  <si>
    <t>INDUSTRI - NET INCOME - DILUTED</t>
  </si>
  <si>
    <t>D:IXD1X(WC01705)~U$</t>
  </si>
  <si>
    <t>INDUSTRI - NET SALES OR REVENUES</t>
  </si>
  <si>
    <t>D:IXD1X(WC01001)~U$</t>
  </si>
  <si>
    <t>INDUSTRI - NON-OPERATING INTEREST INCOME</t>
  </si>
  <si>
    <t>D:IXD1X(WC01266)~U$</t>
  </si>
  <si>
    <t>INDUSTRI - OPERATING EXPENSES - TOTAL</t>
  </si>
  <si>
    <t>D:IXD1X(WC01249)~U$</t>
  </si>
  <si>
    <t>INDUSTRI - OPERATING INCOME</t>
  </si>
  <si>
    <t>D:IXD1X(WC01250)~U$</t>
  </si>
  <si>
    <t>INDUSTRI - PRETAX INCOME</t>
  </si>
  <si>
    <t>D:IXD1X(WC01401)~U$</t>
  </si>
  <si>
    <t>INDUSTRI - PROPERTY, PLANT &amp; EQUIP - NET</t>
  </si>
  <si>
    <t>D:IXD1X(WC02501)~U$</t>
  </si>
  <si>
    <t>INDUSTRI - RECEIVABLES(NET)</t>
  </si>
  <si>
    <t>D:IXD1X(WC02051)~U$</t>
  </si>
  <si>
    <t>INDUSTRI - SHORT TERM DEBT &amp; CURRENT PORT</t>
  </si>
  <si>
    <t>D:IXD1X(WC03051)~U$</t>
  </si>
  <si>
    <t>INDUSTRI - TOTAL ASSETS</t>
  </si>
  <si>
    <t>D:IXD1X(WC02999)~U$</t>
  </si>
  <si>
    <t>INDUSTRI - TOTAL CAPITAL</t>
  </si>
  <si>
    <t>D:IXD1X(WC03998)~U$</t>
  </si>
  <si>
    <t>INDUSTRI - TOTAL DEBT</t>
  </si>
  <si>
    <t>D:IXD1X(WC03255)~U$</t>
  </si>
  <si>
    <t>INDUSTRI - TOTAL INTANGIBLE OT ASSETS-NET</t>
  </si>
  <si>
    <t>D:IXD1X(WC02649)~U$</t>
  </si>
  <si>
    <t>INDUSTRI - TOTAL LIABILITIES</t>
  </si>
  <si>
    <t>D:IXD1X(WC03351)~U$</t>
  </si>
  <si>
    <t>INDUSTRI - TOTAL LIABILITIES &amp; SHAREHOLDE</t>
  </si>
  <si>
    <t>D:IXD1X(WC03999)~U$</t>
  </si>
  <si>
    <t>INDUSTRI - TOTAL SHAREHOLDERS EQUITY</t>
  </si>
  <si>
    <t>D:IXD1X(WC03995)~U$</t>
  </si>
  <si>
    <t>INDUSTRI - WORKING CAPITAL</t>
  </si>
  <si>
    <t>D:IXD1X(WC03151)~U$</t>
  </si>
  <si>
    <t>INDITEX (XET) - BK VAL PS 12M FWD</t>
  </si>
  <si>
    <t>D:IXD1X(DIBV)~U$</t>
  </si>
  <si>
    <t>INDITEX (XET) - EV 12M FWD</t>
  </si>
  <si>
    <t>D:IXD1X(DIEV)~U$</t>
  </si>
  <si>
    <t>INDITEX (XET) - NET INCOME 12M FWD</t>
  </si>
  <si>
    <t>D:IXD1X(DINI)~U$</t>
  </si>
  <si>
    <t>INDITEX (XET) - PRETAX PRF 12M FWD</t>
  </si>
  <si>
    <t>D:IXD1X(DINP)~U$</t>
  </si>
  <si>
    <t>INDITEX (XET) - ROE 12M FWD</t>
  </si>
  <si>
    <t>D:IXD1X(DIRE)~U$</t>
  </si>
  <si>
    <t>INDITEX (XET) - SALES 12M FWD</t>
  </si>
  <si>
    <t>D:IXD1X(DISL)~U$</t>
  </si>
  <si>
    <t>INDUSTRI - DECREASE/INCREASE RECEIVABLES</t>
  </si>
  <si>
    <t>D:IXD1X(WC04825)~U$</t>
  </si>
  <si>
    <t>INDUSTRI - DECREASE/INCREASE INVENTORIES</t>
  </si>
  <si>
    <t>D:IXD1X(WC04826)~U$</t>
  </si>
  <si>
    <t>INDUSTRI - DECREASE IN INVESTMENTS</t>
  </si>
  <si>
    <t>D:IXD1X(WC04440)~U$</t>
  </si>
  <si>
    <t>INDITEX (FRA) - MARKET VALUE</t>
  </si>
  <si>
    <t>D:IXD1(MV)~U$</t>
  </si>
  <si>
    <t>INDITEX (FRA) - PER</t>
  </si>
  <si>
    <t>D:IXD1(PE)</t>
  </si>
  <si>
    <t>INDITEX (FRA) - 12MTH FORWARD EPS</t>
  </si>
  <si>
    <t>D:IXD1(EPS1FD12)~U$</t>
  </si>
  <si>
    <t>INDITEX (FRA)</t>
  </si>
  <si>
    <t>529E(D:IXD1)</t>
  </si>
  <si>
    <t>384E(D:IXD1)</t>
  </si>
  <si>
    <t>380E(D:IXD1)</t>
  </si>
  <si>
    <t>157E(D:IXD1)</t>
  </si>
  <si>
    <t>388E(D:IXD1)</t>
  </si>
  <si>
    <t>334E(D:IXD1)</t>
  </si>
  <si>
    <t>338E(D:IXD1)</t>
  </si>
  <si>
    <t>251E(D:IXD1)</t>
  </si>
  <si>
    <t>250E(D:IXD1)</t>
  </si>
  <si>
    <t>553E(D:IXD1)</t>
  </si>
  <si>
    <t>INDITEX (FRA) - 12MTH TRAILING EPS</t>
  </si>
  <si>
    <t>D:IXD1(EPS1TR12)~U$</t>
  </si>
  <si>
    <t>INDITEX (FRA) - DIV.PER SHR.</t>
  </si>
  <si>
    <t>D:IXD1(DPS)~U$</t>
  </si>
  <si>
    <t>354E(D:IXD1)</t>
  </si>
  <si>
    <t>INDITEX (FRA) - EARNINGS PER SHR</t>
  </si>
  <si>
    <t>D:IXD1(EPS)~U$</t>
  </si>
  <si>
    <t>897E(D:IXD1)</t>
  </si>
  <si>
    <t>400E(D:IXD1)</t>
  </si>
  <si>
    <t>D:IXD1(WC03040)~U$</t>
  </si>
  <si>
    <t>D:IXD1(WC01150)~U$</t>
  </si>
  <si>
    <t>D:IXD1(WC04050)~U$</t>
  </si>
  <si>
    <t>D:IXD1(WC01149)~U$</t>
  </si>
  <si>
    <t>D:IXD1(WC05491)~U$</t>
  </si>
  <si>
    <t>D:IXD1(WC05476)~U$</t>
  </si>
  <si>
    <t>D:IXD1(WC04601)~U$</t>
  </si>
  <si>
    <t>D:IXD1(WC02003)~U$</t>
  </si>
  <si>
    <t>D:IXD1(WC02005)~U$</t>
  </si>
  <si>
    <t>D:IXD1(WC02001)~U$</t>
  </si>
  <si>
    <t>D:IXD1(WC04551)~U$</t>
  </si>
  <si>
    <t>D:IXD1(WC05501)~U$</t>
  </si>
  <si>
    <t>D:IXD1(WC05502)~U$</t>
  </si>
  <si>
    <t>D:IXD1(WC05376)~U$</t>
  </si>
  <si>
    <t>D:IXD1(WC03501)~U$</t>
  </si>
  <si>
    <t>D:IXD1(WC03480)~U$</t>
  </si>
  <si>
    <t>D:IXD1(WC01051)~U$</t>
  </si>
  <si>
    <t>D:IXD1(WC02201)~U$</t>
  </si>
  <si>
    <t>D:IXD1(WC03101)~U$</t>
  </si>
  <si>
    <t>D:IXD1(WC03263)~U$</t>
  </si>
  <si>
    <t>D:IXD1(WC04049)~U$</t>
  </si>
  <si>
    <t>D:IXD1(WC01151)~U$</t>
  </si>
  <si>
    <t>D:IXD1(WC05101)~U$</t>
  </si>
  <si>
    <t>D:IXD1(WC05110)~U$</t>
  </si>
  <si>
    <t>D:IXD1(WC18191)~U$</t>
  </si>
  <si>
    <t>D:IXD1(WC18198)~U$</t>
  </si>
  <si>
    <t>D:IXD1(WC05201)~U$</t>
  </si>
  <si>
    <t>D:IXD1(WC10030)~U$</t>
  </si>
  <si>
    <t>D:IXD1(WC18100)~U$</t>
  </si>
  <si>
    <t>D:IXD1(WC01100)~U$</t>
  </si>
  <si>
    <t>D:IXD1(WC01451)~U$</t>
  </si>
  <si>
    <t>D:IXD1(WC04851)~U$</t>
  </si>
  <si>
    <t>D:IXD1(WC01251)~U$</t>
  </si>
  <si>
    <t>D:IXD1(WC02101)~U$</t>
  </si>
  <si>
    <t>D:IXD1(WC03251)~U$</t>
  </si>
  <si>
    <t>D:IXD1(WC08001)~U$</t>
  </si>
  <si>
    <t>D:IXD1(WC04890)~U$</t>
  </si>
  <si>
    <t>D:IXD1(WC04870)~U$</t>
  </si>
  <si>
    <t>D:IXD1(WC04860)~U$</t>
  </si>
  <si>
    <t>D:IXD1(WC18199)~U$</t>
  </si>
  <si>
    <t>D:IXD1(WC01705)~U$</t>
  </si>
  <si>
    <t>D:IXD1(WC01001)~U$</t>
  </si>
  <si>
    <t>D:IXD1(WC01266)~U$</t>
  </si>
  <si>
    <t>D:IXD1(WC01249)~U$</t>
  </si>
  <si>
    <t>D:IXD1(WC01250)~U$</t>
  </si>
  <si>
    <t>D:IXD1(WC01401)~U$</t>
  </si>
  <si>
    <t>D:IXD1(WC02501)~U$</t>
  </si>
  <si>
    <t>D:IXD1(WC02051)~U$</t>
  </si>
  <si>
    <t>D:IXD1(WC03051)~U$</t>
  </si>
  <si>
    <t>D:IXD1(WC02999)~U$</t>
  </si>
  <si>
    <t>D:IXD1(WC03998)~U$</t>
  </si>
  <si>
    <t>D:IXD1(WC03255)~U$</t>
  </si>
  <si>
    <t>D:IXD1(WC02649)~U$</t>
  </si>
  <si>
    <t>D:IXD1(WC03351)~U$</t>
  </si>
  <si>
    <t>D:IXD1(WC03999)~U$</t>
  </si>
  <si>
    <t>D:IXD1(WC03995)~U$</t>
  </si>
  <si>
    <t>D:IXD1(WC03151)~U$</t>
  </si>
  <si>
    <t>INDITEX (FRA) - BK VAL PS 12M FWD</t>
  </si>
  <si>
    <t>D:IXD1(DIBV)~U$</t>
  </si>
  <si>
    <t>INDITEX (FRA) - EV 12M FWD</t>
  </si>
  <si>
    <t>D:IXD1(DIEV)~U$</t>
  </si>
  <si>
    <t>INDITEX (FRA) - NET INCOME 12M FWD</t>
  </si>
  <si>
    <t>D:IXD1(DINI)~U$</t>
  </si>
  <si>
    <t>INDITEX (FRA) - PRETAX PRF 12M FWD</t>
  </si>
  <si>
    <t>D:IXD1(DINP)~U$</t>
  </si>
  <si>
    <t>INDITEX (FRA) - ROE 12M FWD</t>
  </si>
  <si>
    <t>D:IXD1(DIRE)~U$</t>
  </si>
  <si>
    <t>INDITEX (FRA) - SALES 12M FWD</t>
  </si>
  <si>
    <t>D:IXD1(DISL)~U$</t>
  </si>
  <si>
    <t>D:IXD1(WC04825)~U$</t>
  </si>
  <si>
    <t>D:IXD1(WC04826)~U$</t>
  </si>
  <si>
    <t>D:IXD1(WC04440)~U$</t>
  </si>
  <si>
    <t>LEVI STRAUSS A - MARKET VALUE</t>
  </si>
  <si>
    <t>U:LEVI(MV)~U$</t>
  </si>
  <si>
    <t>US52736R1023</t>
  </si>
  <si>
    <t>LEVI STRAUSS A - PER</t>
  </si>
  <si>
    <t>U:LEVI(PE)</t>
  </si>
  <si>
    <t>LEVI STRAUSS A - 12MTH FORWARD EPS</t>
  </si>
  <si>
    <t>U:LEVI(EPS1FD12)~U$</t>
  </si>
  <si>
    <t>LEVI STRAUSS A</t>
  </si>
  <si>
    <t>529E(U:LEVI)</t>
  </si>
  <si>
    <t>384E(U:LEVI)</t>
  </si>
  <si>
    <t>380E(U:LEVI)</t>
  </si>
  <si>
    <t>157E(U:LEVI)</t>
  </si>
  <si>
    <t>388E(U:LEVI)</t>
  </si>
  <si>
    <t>334E(U:LEVI)</t>
  </si>
  <si>
    <t>338E(U:LEVI)</t>
  </si>
  <si>
    <t>251E(U:LEVI)</t>
  </si>
  <si>
    <t>250E(U:LEVI)</t>
  </si>
  <si>
    <t>553E(U:LEVI)</t>
  </si>
  <si>
    <t>LEVI STRAUSS A - 12MTH TRAILING EPS</t>
  </si>
  <si>
    <t>U:LEVI(EPS1TR12)~U$</t>
  </si>
  <si>
    <t>LEVI STRAUSS A - DIV.PER SHR.</t>
  </si>
  <si>
    <t>U:LEVI(DPS)~U$</t>
  </si>
  <si>
    <t>354E(U:LEVI)</t>
  </si>
  <si>
    <t>LEVI STRAUSS A - EARNINGS PER SHR</t>
  </si>
  <si>
    <t>U:LEVI(EPS)~U$</t>
  </si>
  <si>
    <t>897E(U:LEVI)</t>
  </si>
  <si>
    <t>400E(U:LEVI)</t>
  </si>
  <si>
    <t>LEVI STRAUSS &amp; CO - ACCOUNTS PAYABLE</t>
  </si>
  <si>
    <t>U:LEVI(WC03040)~U$</t>
  </si>
  <si>
    <t>LEVI STRAUSS &amp; CO - AMORT &amp; IMPAIR OF GOODWILL</t>
  </si>
  <si>
    <t>U:LEVI(WC18224)~U$</t>
  </si>
  <si>
    <t>LEVI STRAUSS &amp; CO - AMORTIZATION OF DEFERRED CHARG</t>
  </si>
  <si>
    <t>U:LEVI(WC01150)~U$</t>
  </si>
  <si>
    <t>LEVI STRAUSS &amp; CO - AMORTIZATION-INTANGIBLE ASSETS</t>
  </si>
  <si>
    <t>U:LEVI(WC04050)~U$</t>
  </si>
  <si>
    <t>LEVI STRAUSS &amp; CO - AMORTIZATION OF INTANGIBLES</t>
  </si>
  <si>
    <t>U:LEVI(WC01149)~U$</t>
  </si>
  <si>
    <t>LEVI STRAUSS &amp; CO - BOOK VALUE-OUT SHARES-FISCAL</t>
  </si>
  <si>
    <t>U:LEVI(WC05491)~U$</t>
  </si>
  <si>
    <t>LEVI STRAUSS &amp; CO - BOOK VALUE PER SHARE</t>
  </si>
  <si>
    <t>U:LEVI(WC05476)~U$</t>
  </si>
  <si>
    <t>LEVI STRAUSS &amp; CO - CAPITAL EXPENDITURES</t>
  </si>
  <si>
    <t>U:LEVI(WC04601)~U$</t>
  </si>
  <si>
    <t>LEVI STRAUSS &amp; CO - CASH</t>
  </si>
  <si>
    <t>U:LEVI(WC02003)~U$</t>
  </si>
  <si>
    <t>LEVI STRAUSS &amp; CO - CASH - GENERIC</t>
  </si>
  <si>
    <t>U:LEVI(WC02005)~U$</t>
  </si>
  <si>
    <t>LEVI STRAUSS &amp; CO - CASH &amp; SHORT TERM INVESTMENTS</t>
  </si>
  <si>
    <t>U:LEVI(WC02001)~U$</t>
  </si>
  <si>
    <t>LEVI STRAUSS &amp; CO - CASH DIVIDENDS PAID - TOTAL</t>
  </si>
  <si>
    <t>U:LEVI(WC04551)~U$</t>
  </si>
  <si>
    <t>LEVI STRAUSS &amp; CO - CASH FLOW PER SHARE</t>
  </si>
  <si>
    <t>U:LEVI(WC05501)~U$</t>
  </si>
  <si>
    <t>LEVI STRAUSS &amp; CO - CASH FLOW PER SHARE - FIS YR</t>
  </si>
  <si>
    <t>U:LEVI(WC05502)~U$</t>
  </si>
  <si>
    <t>LEVI STRAUSS &amp; CO - COMMON DIVIDENDS (CASH)</t>
  </si>
  <si>
    <t>U:LEVI(WC05376)~U$</t>
  </si>
  <si>
    <t>LEVI STRAUSS &amp; CO - COMMON SHAREHOLDERS' EQUITY</t>
  </si>
  <si>
    <t>U:LEVI(WC03501)~U$</t>
  </si>
  <si>
    <t>LEVI STRAUSS &amp; CO - COMMON STOCK</t>
  </si>
  <si>
    <t>U:LEVI(WC03480)~U$</t>
  </si>
  <si>
    <t>LEVI STRAUSS &amp; CO - COST OF GOODS SOLD (EXCL DEP)</t>
  </si>
  <si>
    <t>U:LEVI(WC01051)~U$</t>
  </si>
  <si>
    <t>LEVI STRAUSS &amp; CO - CURRENT ASSETS - TOTAL</t>
  </si>
  <si>
    <t>U:LEVI(WC02201)~U$</t>
  </si>
  <si>
    <t>LEVI STRAUSS &amp; CO - CURRENT LIABILITIES-TOTAL</t>
  </si>
  <si>
    <t>U:LEVI(WC03101)~U$</t>
  </si>
  <si>
    <t>LEVI STRAUSS &amp; CO - DEFERRED TAXES</t>
  </si>
  <si>
    <t>U:LEVI(WC03263)~U$</t>
  </si>
  <si>
    <t>LEVI STRAUSS &amp; CO - DEPRECIATION AND DEPLETION</t>
  </si>
  <si>
    <t>U:LEVI(WC04049)~U$</t>
  </si>
  <si>
    <t>LEVI STRAUSS &amp; CO - DEPRECIATION/DEPLETION/AMORT</t>
  </si>
  <si>
    <t>U:LEVI(WC01151)~U$</t>
  </si>
  <si>
    <t>LEVI STRAUSS &amp; CO - DIVIDENDS PER SHARE</t>
  </si>
  <si>
    <t>U:LEVI(WC05101)~U$</t>
  </si>
  <si>
    <t>LEVI STRAUSS &amp; CO - DIVIDENDS PER SHARE - FISCAL</t>
  </si>
  <si>
    <t>U:LEVI(WC05110)~U$</t>
  </si>
  <si>
    <t>LEVI STRAUSS &amp; CO - EARNINGS BEF INTEREST &amp; TAXES</t>
  </si>
  <si>
    <t>U:LEVI(WC18191)~U$</t>
  </si>
  <si>
    <t>LEVI STRAUSS &amp; CO - EBIT &amp; DEPRECIATION</t>
  </si>
  <si>
    <t>U:LEVI(WC18198)~U$</t>
  </si>
  <si>
    <t>LEVI STRAUSS &amp; CO - EARNINGS PER SHARE</t>
  </si>
  <si>
    <t>U:LEVI(WC05201)~U$</t>
  </si>
  <si>
    <t>LEVI STRAUSS &amp; CO - FISCAL EPS-FULLY DILUTED-YR</t>
  </si>
  <si>
    <t>U:LEVI(WC10030)~U$</t>
  </si>
  <si>
    <t>LEVI STRAUSS &amp; CO - ENTERPRISE VALUE</t>
  </si>
  <si>
    <t>U:LEVI(WC18100)~U$</t>
  </si>
  <si>
    <t>LEVI STRAUSS &amp; CO - GROSS INCOME</t>
  </si>
  <si>
    <t>U:LEVI(WC01100)~U$</t>
  </si>
  <si>
    <t>LEVI STRAUSS &amp; CO - IMPAIRMENT OF GOODWILL</t>
  </si>
  <si>
    <t>U:LEVI(WC18225)~U$</t>
  </si>
  <si>
    <t>LEVI STRAUSS &amp; CO - IMPAIRMENT- OTHER INTANGIBLES</t>
  </si>
  <si>
    <t>U:LEVI(WC18226)~U$</t>
  </si>
  <si>
    <t>LEVI STRAUSS &amp; CO - INCOME TAXES</t>
  </si>
  <si>
    <t>U:LEVI(WC01451)~U$</t>
  </si>
  <si>
    <t>LEVI STRAUSS &amp; CO - INCREASE/DECREASE IN CASH/SHOR</t>
  </si>
  <si>
    <t>U:LEVI(WC04851)~U$</t>
  </si>
  <si>
    <t>LEVI STRAUSS &amp; CO - INTEREST EXPENSE ON DEBT</t>
  </si>
  <si>
    <t>U:LEVI(WC01251)~U$</t>
  </si>
  <si>
    <t>LEVI STRAUSS &amp; CO - TOTAL INVENTORIES</t>
  </si>
  <si>
    <t>U:LEVI(WC02101)~U$</t>
  </si>
  <si>
    <t>LEVI STRAUSS &amp; CO - LONG TERM DEBT</t>
  </si>
  <si>
    <t>U:LEVI(WC03251)~U$</t>
  </si>
  <si>
    <t>LEVI STRAUSS &amp; CO - MARKET CAPITALIZATION</t>
  </si>
  <si>
    <t>U:LEVI(WC08001)~U$</t>
  </si>
  <si>
    <t>LEVI STRAUSS &amp; CO - NET CASH FLOW - FINANCING</t>
  </si>
  <si>
    <t>U:LEVI(WC04890)~U$</t>
  </si>
  <si>
    <t>LEVI STRAUSS &amp; CO - NET CASH FLOW - INVESTING</t>
  </si>
  <si>
    <t>U:LEVI(WC04870)~U$</t>
  </si>
  <si>
    <t>LEVI STRAUSS &amp; CO - NET CASH FLOW-OPERATING ACTIVS</t>
  </si>
  <si>
    <t>U:LEVI(WC04860)~U$</t>
  </si>
  <si>
    <t>LEVI STRAUSS &amp; CO - NET DEBT</t>
  </si>
  <si>
    <t>U:LEVI(WC18199)~U$</t>
  </si>
  <si>
    <t>LEVI STRAUSS &amp; CO - NET INCOME - DILUTED</t>
  </si>
  <si>
    <t>U:LEVI(WC01705)~U$</t>
  </si>
  <si>
    <t>LEVI STRAUSS &amp; CO - NET SALES OR REVENUES</t>
  </si>
  <si>
    <t>U:LEVI(WC01001)~U$</t>
  </si>
  <si>
    <t>LEVI STRAUSS &amp; CO - NON-OPERATING INTEREST INCOME</t>
  </si>
  <si>
    <t>U:LEVI(WC01266)~U$</t>
  </si>
  <si>
    <t>LEVI STRAUSS &amp; CO - OPERATING EXPENSES - TOTAL</t>
  </si>
  <si>
    <t>U:LEVI(WC01249)~U$</t>
  </si>
  <si>
    <t>LEVI STRAUSS &amp; CO - OPERATING INCOME</t>
  </si>
  <si>
    <t>U:LEVI(WC01250)~U$</t>
  </si>
  <si>
    <t>LEVI STRAUSS &amp; CO - PRETAX INCOME</t>
  </si>
  <si>
    <t>U:LEVI(WC01401)~U$</t>
  </si>
  <si>
    <t>LEVI STRAUSS &amp; CO - PROPERTY, PLANT &amp; EQUIP - NET</t>
  </si>
  <si>
    <t>U:LEVI(WC02501)~U$</t>
  </si>
  <si>
    <t>LEVI STRAUSS &amp; CO - RECEIVABLES(NET)</t>
  </si>
  <si>
    <t>U:LEVI(WC02051)~U$</t>
  </si>
  <si>
    <t>LEVI STRAUSS &amp; CO - SELLING, GENERAL &amp; ADMINISTRAT</t>
  </si>
  <si>
    <t>U:LEVI(WC01101)~U$</t>
  </si>
  <si>
    <t>LEVI STRAUSS &amp; CO - SHORT TERM DEBT &amp; CURRENT PORT</t>
  </si>
  <si>
    <t>U:LEVI(WC03051)~U$</t>
  </si>
  <si>
    <t>LEVI STRAUSS &amp; CO - TOTAL ASSETS</t>
  </si>
  <si>
    <t>U:LEVI(WC02999)~U$</t>
  </si>
  <si>
    <t>LEVI STRAUSS &amp; CO - TOTAL CAPITAL</t>
  </si>
  <si>
    <t>U:LEVI(WC03998)~U$</t>
  </si>
  <si>
    <t>LEVI STRAUSS &amp; CO - TOTAL DEBT</t>
  </si>
  <si>
    <t>U:LEVI(WC03255)~U$</t>
  </si>
  <si>
    <t>LEVI STRAUSS &amp; CO - TOTAL INTANGIBLE OT ASSETS-NET</t>
  </si>
  <si>
    <t>U:LEVI(WC02649)~U$</t>
  </si>
  <si>
    <t>LEVI STRAUSS &amp; CO - TOTAL LIABILITIES</t>
  </si>
  <si>
    <t>U:LEVI(WC03351)~U$</t>
  </si>
  <si>
    <t>LEVI STRAUSS &amp; CO - TOTAL LIABILITIES &amp; SHAREHOLDE</t>
  </si>
  <si>
    <t>U:LEVI(WC03999)~U$</t>
  </si>
  <si>
    <t>LEVI STRAUSS &amp; CO - TOTAL SHAREHOLDERS EQUITY</t>
  </si>
  <si>
    <t>U:LEVI(WC03995)~U$</t>
  </si>
  <si>
    <t>LEVI STRAUSS &amp; CO - WORKING CAPITAL</t>
  </si>
  <si>
    <t>U:LEVI(WC03151)~U$</t>
  </si>
  <si>
    <t>LEVI STRAUSS A - BK VAL PS 12M FWD</t>
  </si>
  <si>
    <t>U:LEVI(DIBV)~U$</t>
  </si>
  <si>
    <t>LEVI STRAUSS A - EV 12M FWD</t>
  </si>
  <si>
    <t>U:LEVI(DIEV)~U$</t>
  </si>
  <si>
    <t>LEVI STRAUSS A - NET INCOME 12M FWD</t>
  </si>
  <si>
    <t>U:LEVI(DINI)~U$</t>
  </si>
  <si>
    <t>LEVI STRAUSS A - PRETAX PRF 12M FWD</t>
  </si>
  <si>
    <t>U:LEVI(DINP)~U$</t>
  </si>
  <si>
    <t>LEVI STRAUSS A - ROE 12M FWD</t>
  </si>
  <si>
    <t>U:LEVI(DIRE)~U$</t>
  </si>
  <si>
    <t>LEVI STRAUSS A - SALES 12M FWD</t>
  </si>
  <si>
    <t>U:LEVI(DISL)~U$</t>
  </si>
  <si>
    <t>LEVI STRAUSS &amp; CO - DECREASE/INCREASE RECEIVABLES</t>
  </si>
  <si>
    <t>U:LEVI(WC04825)~U$</t>
  </si>
  <si>
    <t>LEVI STRAUSS &amp; CO - DECREASE/INCR OTH ASTS/LIABILT</t>
  </si>
  <si>
    <t>U:LEVI(WC04830)~U$</t>
  </si>
  <si>
    <t>LEVI STRAUSS &amp; CO - DECREASE/INCREASE INVENTORIES</t>
  </si>
  <si>
    <t>U:LEVI(WC04826)~U$</t>
  </si>
  <si>
    <t>LEVI STRAUSS &amp; CO - DECREASE IN INVESTMENTS</t>
  </si>
  <si>
    <t>U:LEVI(WC04440)~U$</t>
  </si>
  <si>
    <t>AMER.EAG.OUTFITTERS - MARKET VALUE</t>
  </si>
  <si>
    <t>U:AEO(MV)~U$</t>
  </si>
  <si>
    <t>US02553E1064</t>
  </si>
  <si>
    <t>AMER.EAG.OUTFITTERS - PER</t>
  </si>
  <si>
    <t>U:AEO(PE)</t>
  </si>
  <si>
    <t>AMER.EAG.OUTFITTERS - 12MTH FORWARD EPS</t>
  </si>
  <si>
    <t>U:AEO(EPS1FD12)~U$</t>
  </si>
  <si>
    <t>AMER.EAG.OUTFITTERS</t>
  </si>
  <si>
    <t>529E(U:AEO)</t>
  </si>
  <si>
    <t>384E(U:AEO)</t>
  </si>
  <si>
    <t>380E(U:AEO)</t>
  </si>
  <si>
    <t>157E(U:AEO)</t>
  </si>
  <si>
    <t>388E(U:AEO)</t>
  </si>
  <si>
    <t>334E(U:AEO)</t>
  </si>
  <si>
    <t>338E(U:AEO)</t>
  </si>
  <si>
    <t>251E(U:AEO)</t>
  </si>
  <si>
    <t>250E(U:AEO)</t>
  </si>
  <si>
    <t>553E(U:AEO)</t>
  </si>
  <si>
    <t>AMER.EAG.OUTFITTERS - 12MTH TRAILING EPS</t>
  </si>
  <si>
    <t>U:AEO(EPS1TR12)~U$</t>
  </si>
  <si>
    <t>AMER.EAG.OUTFITTERS - DIV.PER SHR.</t>
  </si>
  <si>
    <t>U:AEO(DPS)~U$</t>
  </si>
  <si>
    <t>354E(U:AEO)</t>
  </si>
  <si>
    <t>AMER.EAG.OUTFITTERS - EARNINGS PER SHR</t>
  </si>
  <si>
    <t>U:AEO(EPS)~U$</t>
  </si>
  <si>
    <t>897E(U:AEO)</t>
  </si>
  <si>
    <t>400E(U:AEO)</t>
  </si>
  <si>
    <t>AMERICAN EAGLE - ACCOUNTS PAYABLE</t>
  </si>
  <si>
    <t>U:AEO(WC03040)~U$</t>
  </si>
  <si>
    <t>AMERICAN EAGLE - AMORT &amp; IMPAIR OF GOODWILL</t>
  </si>
  <si>
    <t>U:AEO(WC18224)~U$</t>
  </si>
  <si>
    <t>AMERICAN EAGLE - AMORTIZATION OF DEFERRED CHARG</t>
  </si>
  <si>
    <t>U:AEO(WC01150)~U$</t>
  </si>
  <si>
    <t>AMERICAN EAGLE - AMORTIZATION-INTANGIBLE ASSETS</t>
  </si>
  <si>
    <t>U:AEO(WC04050)~U$</t>
  </si>
  <si>
    <t>AMERICAN EAGLE - AMORTIZATION OF INTANGIBLES</t>
  </si>
  <si>
    <t>U:AEO(WC01149)~U$</t>
  </si>
  <si>
    <t>AMERICAN EAGLE - BOOK VALUE-OUT SHARES-FISCAL</t>
  </si>
  <si>
    <t>U:AEO(WC05491)~U$</t>
  </si>
  <si>
    <t>AMERICAN EAGLE - BOOK VALUE PER SHARE</t>
  </si>
  <si>
    <t>U:AEO(WC05476)~U$</t>
  </si>
  <si>
    <t>AMERICAN EAGLE - CAPITAL EXPENDITURES</t>
  </si>
  <si>
    <t>U:AEO(WC04601)~U$</t>
  </si>
  <si>
    <t>AMERICAN EAGLE - CASH</t>
  </si>
  <si>
    <t>U:AEO(WC02003)~U$</t>
  </si>
  <si>
    <t>AMERICAN EAGLE - CASH - GENERIC</t>
  </si>
  <si>
    <t>U:AEO(WC02005)~U$</t>
  </si>
  <si>
    <t>AMERICAN EAGLE - CASH &amp; SHORT TERM INVESTMENTS</t>
  </si>
  <si>
    <t>U:AEO(WC02001)~U$</t>
  </si>
  <si>
    <t>AMERICAN EAGLE - CASH DIVIDENDS PAID - TOTAL</t>
  </si>
  <si>
    <t>U:AEO(WC04551)~U$</t>
  </si>
  <si>
    <t>AMERICAN EAGLE - CASH FLOW PER SHARE</t>
  </si>
  <si>
    <t>U:AEO(WC05501)~U$</t>
  </si>
  <si>
    <t>AMERICAN EAGLE - CASH FLOW PER SHARE - FIS YR</t>
  </si>
  <si>
    <t>U:AEO(WC05502)~U$</t>
  </si>
  <si>
    <t>AMERICAN EAGLE - COMMON DIVIDENDS (CASH)</t>
  </si>
  <si>
    <t>U:AEO(WC05376)~U$</t>
  </si>
  <si>
    <t>AMERICAN EAGLE - COMMON SHAREHOLDERS' EQUITY</t>
  </si>
  <si>
    <t>U:AEO(WC03501)~U$</t>
  </si>
  <si>
    <t>AMERICAN EAGLE - COMMON STOCK</t>
  </si>
  <si>
    <t>U:AEO(WC03480)~U$</t>
  </si>
  <si>
    <t>AMERICAN EAGLE - COST OF GOODS SOLD (EXCL DEP)</t>
  </si>
  <si>
    <t>U:AEO(WC01051)~U$</t>
  </si>
  <si>
    <t>AMERICAN EAGLE - CURRENT ASSETS - TOTAL</t>
  </si>
  <si>
    <t>U:AEO(WC02201)~U$</t>
  </si>
  <si>
    <t>AMERICAN EAGLE - CURRENT LIABILITIES-TOTAL</t>
  </si>
  <si>
    <t>U:AEO(WC03101)~U$</t>
  </si>
  <si>
    <t>AMERICAN EAGLE - DEFERRED TAXES</t>
  </si>
  <si>
    <t>U:AEO(WC03263)~U$</t>
  </si>
  <si>
    <t>AMERICAN EAGLE - DEPRECIATION AND DEPLETION</t>
  </si>
  <si>
    <t>U:AEO(WC04049)~U$</t>
  </si>
  <si>
    <t>AMERICAN EAGLE - DEPRECIATION/DEPLETION/AMORT</t>
  </si>
  <si>
    <t>U:AEO(WC01151)~U$</t>
  </si>
  <si>
    <t>AMERICAN EAGLE - DIVIDENDS PER SHARE</t>
  </si>
  <si>
    <t>U:AEO(WC05101)~U$</t>
  </si>
  <si>
    <t>AMERICAN EAGLE - DIVIDENDS PER SHARE - FISCAL</t>
  </si>
  <si>
    <t>U:AEO(WC05110)~U$</t>
  </si>
  <si>
    <t>AMERICAN EAGLE - EARNINGS BEF INTEREST &amp; TAXES</t>
  </si>
  <si>
    <t>U:AEO(WC18191)~U$</t>
  </si>
  <si>
    <t>AMERICAN EAGLE - EBIT &amp; DEPRECIATION</t>
  </si>
  <si>
    <t>U:AEO(WC18198)~U$</t>
  </si>
  <si>
    <t>AMERICAN EAGLE - EARNINGS PER SHARE</t>
  </si>
  <si>
    <t>U:AEO(WC05201)~U$</t>
  </si>
  <si>
    <t>AMERICAN EAGLE - FISCAL EPS-FULLY DILUTED-YR</t>
  </si>
  <si>
    <t>U:AEO(WC10030)~U$</t>
  </si>
  <si>
    <t>AMERICAN EAGLE - ENTERPRISE VALUE</t>
  </si>
  <si>
    <t>U:AEO(WC18100)~U$</t>
  </si>
  <si>
    <t>AMERICAN EAGLE - GROSS INCOME</t>
  </si>
  <si>
    <t>U:AEO(WC01100)~U$</t>
  </si>
  <si>
    <t>AMERICAN EAGLE - IMPAIRMENT OF GOODWILL</t>
  </si>
  <si>
    <t>U:AEO(WC18225)~U$</t>
  </si>
  <si>
    <t>AMERICAN EAGLE - IMPAIRMENT- OTHER INTANGIBLES</t>
  </si>
  <si>
    <t>U:AEO(WC18226)~U$</t>
  </si>
  <si>
    <t>AMERICAN EAGLE - INCOME TAXES</t>
  </si>
  <si>
    <t>U:AEO(WC01451)~U$</t>
  </si>
  <si>
    <t>AMERICAN EAGLE - INCREASE/DECREASE IN CASH/SHOR</t>
  </si>
  <si>
    <t>U:AEO(WC04851)~U$</t>
  </si>
  <si>
    <t>AMERICAN EAGLE - INTEREST EXPENSE ON DEBT</t>
  </si>
  <si>
    <t>U:AEO(WC01251)~U$</t>
  </si>
  <si>
    <t>AMERICAN EAGLE - TOTAL INVENTORIES</t>
  </si>
  <si>
    <t>U:AEO(WC02101)~U$</t>
  </si>
  <si>
    <t>AMERICAN EAGLE - LONG TERM DEBT</t>
  </si>
  <si>
    <t>U:AEO(WC03251)~U$</t>
  </si>
  <si>
    <t>AMERICAN EAGLE - MARKET CAPITALIZATION</t>
  </si>
  <si>
    <t>U:AEO(WC08001)~U$</t>
  </si>
  <si>
    <t>AMERICAN EAGLE - NET CASH FLOW - FINANCING</t>
  </si>
  <si>
    <t>U:AEO(WC04890)~U$</t>
  </si>
  <si>
    <t>AMERICAN EAGLE - NET CASH FLOW - INVESTING</t>
  </si>
  <si>
    <t>U:AEO(WC04870)~U$</t>
  </si>
  <si>
    <t>AMERICAN EAGLE - NET CASH FLOW-OPERATING ACTIVS</t>
  </si>
  <si>
    <t>U:AEO(WC04860)~U$</t>
  </si>
  <si>
    <t>AMERICAN EAGLE - NET DEBT</t>
  </si>
  <si>
    <t>U:AEO(WC18199)~U$</t>
  </si>
  <si>
    <t>AMERICAN EAGLE - NET INCOME - DILUTED</t>
  </si>
  <si>
    <t>U:AEO(WC01705)~U$</t>
  </si>
  <si>
    <t>AMERICAN EAGLE - NET SALES OR REVENUES</t>
  </si>
  <si>
    <t>U:AEO(WC01001)~U$</t>
  </si>
  <si>
    <t>AMERICAN EAGLE - NON-OPERATING INTEREST INCOME</t>
  </si>
  <si>
    <t>U:AEO(WC01266)~U$</t>
  </si>
  <si>
    <t>AMERICAN EAGLE - OPERATING EXPENSES - TOTAL</t>
  </si>
  <si>
    <t>U:AEO(WC01249)~U$</t>
  </si>
  <si>
    <t>AMERICAN EAGLE - OPERATING INCOME</t>
  </si>
  <si>
    <t>U:AEO(WC01250)~U$</t>
  </si>
  <si>
    <t>AMERICAN EAGLE - PRETAX INCOME</t>
  </si>
  <si>
    <t>U:AEO(WC01401)~U$</t>
  </si>
  <si>
    <t>AMERICAN EAGLE - PROPERTY, PLANT &amp; EQUIP - NET</t>
  </si>
  <si>
    <t>U:AEO(WC02501)~U$</t>
  </si>
  <si>
    <t>AMERICAN EAGLE - RECEIVABLES(NET)</t>
  </si>
  <si>
    <t>U:AEO(WC02051)~U$</t>
  </si>
  <si>
    <t>AMERICAN EAGLE - SELLING, GENERAL &amp; ADMINISTRAT</t>
  </si>
  <si>
    <t>U:AEO(WC01101)~U$</t>
  </si>
  <si>
    <t>AMERICAN EAGLE - SHORT TERM DEBT &amp; CURRENT PORT</t>
  </si>
  <si>
    <t>U:AEO(WC03051)~U$</t>
  </si>
  <si>
    <t>AMERICAN EAGLE - TOTAL ASSETS</t>
  </si>
  <si>
    <t>U:AEO(WC02999)~U$</t>
  </si>
  <si>
    <t>AMERICAN EAGLE - TOTAL CAPITAL</t>
  </si>
  <si>
    <t>U:AEO(WC03998)~U$</t>
  </si>
  <si>
    <t>AMERICAN EAGLE - TOTAL DEBT</t>
  </si>
  <si>
    <t>U:AEO(WC03255)~U$</t>
  </si>
  <si>
    <t>AMERICAN EAGLE - TOTAL INTANGIBLE OT ASSETS-NET</t>
  </si>
  <si>
    <t>U:AEO(WC02649)~U$</t>
  </si>
  <si>
    <t>AMERICAN EAGLE - TOTAL LIABILITIES</t>
  </si>
  <si>
    <t>U:AEO(WC03351)~U$</t>
  </si>
  <si>
    <t>AMERICAN EAGLE - TOTAL LIABILITIES &amp; SHAREHOLDE</t>
  </si>
  <si>
    <t>U:AEO(WC03999)~U$</t>
  </si>
  <si>
    <t>AMERICAN EAGLE - TOTAL SHAREHOLDERS EQUITY</t>
  </si>
  <si>
    <t>U:AEO(WC03995)~U$</t>
  </si>
  <si>
    <t>AMERICAN EAGLE - WORKING CAPITAL</t>
  </si>
  <si>
    <t>U:AEO(WC03151)~U$</t>
  </si>
  <si>
    <t>AMER.EAG.OUTFITTERS - BK VAL PS 12M FWD</t>
  </si>
  <si>
    <t>U:AEO(DIBV)~U$</t>
  </si>
  <si>
    <t>AMER.EAG.OUTFITTERS - EV 12M FWD</t>
  </si>
  <si>
    <t>U:AEO(DIEV)~U$</t>
  </si>
  <si>
    <t>AMER.EAG.OUTFITTERS - NET INCOME 12M FWD</t>
  </si>
  <si>
    <t>U:AEO(DINI)~U$</t>
  </si>
  <si>
    <t>AMER.EAG.OUTFITTERS - PRETAX PRF 12M FWD</t>
  </si>
  <si>
    <t>U:AEO(DINP)~U$</t>
  </si>
  <si>
    <t>AMER.EAG.OUTFITTERS - ROE 12M FWD</t>
  </si>
  <si>
    <t>U:AEO(DIRE)~U$</t>
  </si>
  <si>
    <t>AMER.EAG.OUTFITTERS - SALES 12M FWD</t>
  </si>
  <si>
    <t>U:AEO(DISL)~U$</t>
  </si>
  <si>
    <t>AMERICAN EAGLE - DECREASE/INCREASE RECEIVABLES</t>
  </si>
  <si>
    <t>U:AEO(WC04825)~U$</t>
  </si>
  <si>
    <t>AMERICAN EAGLE - DECREASE/INCR OTH ASTS/LIABILT</t>
  </si>
  <si>
    <t>U:AEO(WC04830)~U$</t>
  </si>
  <si>
    <t>AMERICAN EAGLE - DECREASE/INCREASE INVENTORIES</t>
  </si>
  <si>
    <t>U:AEO(WC04826)~U$</t>
  </si>
  <si>
    <t>AMERICAN EAGLE - DECREASE IN INVESTMENTS</t>
  </si>
  <si>
    <t>U:AEO(WC04440)~U$</t>
  </si>
  <si>
    <t>ABERCROMBIE &amp; FITCH 'A' - MARKET VALUE</t>
  </si>
  <si>
    <t>U:ANF(MV)~U$</t>
  </si>
  <si>
    <t>US0028962076</t>
  </si>
  <si>
    <t>ABERCROMBIE &amp; FITCH 'A' - PER</t>
  </si>
  <si>
    <t>U:ANF(PE)</t>
  </si>
  <si>
    <t>ABERCROMBIE &amp; FITCH 'A' - 12MTH FORWARD EPS</t>
  </si>
  <si>
    <t>U:ANF(EPS1FD12)~U$</t>
  </si>
  <si>
    <t>ABERCROMBIE &amp; FITCH 'A'</t>
  </si>
  <si>
    <t>529E(U:ANF)</t>
  </si>
  <si>
    <t>384E(U:ANF)</t>
  </si>
  <si>
    <t>380E(U:ANF)</t>
  </si>
  <si>
    <t>157E(U:ANF)</t>
  </si>
  <si>
    <t>388E(U:ANF)</t>
  </si>
  <si>
    <t>334E(U:ANF)</t>
  </si>
  <si>
    <t>338E(U:ANF)</t>
  </si>
  <si>
    <t>251E(U:ANF)</t>
  </si>
  <si>
    <t>250E(U:ANF)</t>
  </si>
  <si>
    <t>553E(U:ANF)</t>
  </si>
  <si>
    <t>ABERCROMBIE &amp; FITCH 'A' - 12MTH TRAILING EPS</t>
  </si>
  <si>
    <t>U:ANF(EPS1TR12)~U$</t>
  </si>
  <si>
    <t>ABERCROMBIE &amp; FITCH 'A' - DIV.PER SHR.</t>
  </si>
  <si>
    <t>U:ANF(DPS)~U$</t>
  </si>
  <si>
    <t>354E(U:ANF)</t>
  </si>
  <si>
    <t>ABERCROMBIE &amp; FITCH 'A' - EARNINGS PER SHR</t>
  </si>
  <si>
    <t>U:ANF(EPS)~U$</t>
  </si>
  <si>
    <t>897E(U:ANF)</t>
  </si>
  <si>
    <t>400E(U:ANF)</t>
  </si>
  <si>
    <t>ABERCROMBIE &amp; FITCH - ACCOUNTS PAYABLE</t>
  </si>
  <si>
    <t>U:ANF(WC03040)~U$</t>
  </si>
  <si>
    <t>ABERCROMBIE &amp; FITCH - AMORTIZATION OF DEFERRED CHARG</t>
  </si>
  <si>
    <t>U:ANF(WC01150)~U$</t>
  </si>
  <si>
    <t>ABERCROMBIE &amp; FITCH - BOOK VALUE-OUT SHARES-FISCAL</t>
  </si>
  <si>
    <t>U:ANF(WC05491)~U$</t>
  </si>
  <si>
    <t>ABERCROMBIE &amp; FITCH - BOOK VALUE PER SHARE</t>
  </si>
  <si>
    <t>U:ANF(WC05476)~U$</t>
  </si>
  <si>
    <t>ABERCROMBIE &amp; FITCH - CAPITAL EXPENDITURES</t>
  </si>
  <si>
    <t>U:ANF(WC04601)~U$</t>
  </si>
  <si>
    <t>ABERCROMBIE &amp; FITCH - CASH</t>
  </si>
  <si>
    <t>U:ANF(WC02003)~U$</t>
  </si>
  <si>
    <t>ABERCROMBIE &amp; FITCH - CASH - GENERIC</t>
  </si>
  <si>
    <t>U:ANF(WC02005)~U$</t>
  </si>
  <si>
    <t>ABERCROMBIE &amp; FITCH - CASH &amp; SHORT TERM INVESTMENTS</t>
  </si>
  <si>
    <t>U:ANF(WC02001)~U$</t>
  </si>
  <si>
    <t>ABERCROMBIE &amp; FITCH - CASH DIVIDENDS PAID - TOTAL</t>
  </si>
  <si>
    <t>U:ANF(WC04551)~U$</t>
  </si>
  <si>
    <t>ABERCROMBIE &amp; FITCH - CASH FLOW PER SHARE</t>
  </si>
  <si>
    <t>U:ANF(WC05501)~U$</t>
  </si>
  <si>
    <t>ABERCROMBIE &amp; FITCH - CASH FLOW PER SHARE - FIS YR</t>
  </si>
  <si>
    <t>U:ANF(WC05502)~U$</t>
  </si>
  <si>
    <t>ABERCROMBIE &amp; FITCH - COMMON DIVIDENDS (CASH)</t>
  </si>
  <si>
    <t>U:ANF(WC05376)~U$</t>
  </si>
  <si>
    <t>ABERCROMBIE &amp; FITCH - COMMON SHAREHOLDERS' EQUITY</t>
  </si>
  <si>
    <t>U:ANF(WC03501)~U$</t>
  </si>
  <si>
    <t>ABERCROMBIE &amp; FITCH - COMMON STOCK</t>
  </si>
  <si>
    <t>U:ANF(WC03480)~U$</t>
  </si>
  <si>
    <t>ABERCROMBIE &amp; FITCH - COST OF GOODS SOLD (EXCL DEP)</t>
  </si>
  <si>
    <t>U:ANF(WC01051)~U$</t>
  </si>
  <si>
    <t>ABERCROMBIE &amp; FITCH - CURRENT ASSETS - TOTAL</t>
  </si>
  <si>
    <t>U:ANF(WC02201)~U$</t>
  </si>
  <si>
    <t>ABERCROMBIE &amp; FITCH - CURRENT LIABILITIES-TOTAL</t>
  </si>
  <si>
    <t>U:ANF(WC03101)~U$</t>
  </si>
  <si>
    <t>ABERCROMBIE &amp; FITCH - DEFERRED TAXES</t>
  </si>
  <si>
    <t>U:ANF(WC03263)~U$</t>
  </si>
  <si>
    <t>ABERCROMBIE &amp; FITCH - DEPRECIATION AND DEPLETION</t>
  </si>
  <si>
    <t>U:ANF(WC04049)~U$</t>
  </si>
  <si>
    <t>ABERCROMBIE &amp; FITCH - DEPRECIATION/DEPLETION/AMORT</t>
  </si>
  <si>
    <t>U:ANF(WC01151)~U$</t>
  </si>
  <si>
    <t>ABERCROMBIE &amp; FITCH - DIVIDENDS PER SHARE</t>
  </si>
  <si>
    <t>U:ANF(WC05101)~U$</t>
  </si>
  <si>
    <t>ABERCROMBIE &amp; FITCH - DIVIDENDS PER SHARE - FISCAL</t>
  </si>
  <si>
    <t>U:ANF(WC05110)~U$</t>
  </si>
  <si>
    <t>ABERCROMBIE &amp; FITCH - EARNINGS BEF INTEREST &amp; TAXES</t>
  </si>
  <si>
    <t>U:ANF(WC18191)~U$</t>
  </si>
  <si>
    <t>ABERCROMBIE &amp; FITCH - EBIT &amp; DEPRECIATION</t>
  </si>
  <si>
    <t>U:ANF(WC18198)~U$</t>
  </si>
  <si>
    <t>ABERCROMBIE &amp; FITCH - EARNINGS PER SHARE</t>
  </si>
  <si>
    <t>U:ANF(WC05201)~U$</t>
  </si>
  <si>
    <t>ABERCROMBIE &amp; FITCH - FISCAL EPS-FULLY DILUTED-YR</t>
  </si>
  <si>
    <t>U:ANF(WC10030)~U$</t>
  </si>
  <si>
    <t>ABERCROMBIE &amp; FITCH - ENTERPRISE VALUE</t>
  </si>
  <si>
    <t>U:ANF(WC18100)~U$</t>
  </si>
  <si>
    <t>ABERCROMBIE &amp; FITCH - GROSS INCOME</t>
  </si>
  <si>
    <t>U:ANF(WC01100)~U$</t>
  </si>
  <si>
    <t>ABERCROMBIE &amp; FITCH - INCOME TAXES</t>
  </si>
  <si>
    <t>U:ANF(WC01451)~U$</t>
  </si>
  <si>
    <t>ABERCROMBIE &amp; FITCH - INCREASE/DECREASE IN CASH/SHOR</t>
  </si>
  <si>
    <t>U:ANF(WC04851)~U$</t>
  </si>
  <si>
    <t>ABERCROMBIE &amp; FITCH - INTEREST EXPENSE ON DEBT</t>
  </si>
  <si>
    <t>U:ANF(WC01251)~U$</t>
  </si>
  <si>
    <t>ABERCROMBIE &amp; FITCH - TOTAL INVENTORIES</t>
  </si>
  <si>
    <t>U:ANF(WC02101)~U$</t>
  </si>
  <si>
    <t>ABERCROMBIE &amp; FITCH - LONG TERM DEBT</t>
  </si>
  <si>
    <t>U:ANF(WC03251)~U$</t>
  </si>
  <si>
    <t>ABERCROMBIE &amp; FITCH - MARKET CAPITALIZATION</t>
  </si>
  <si>
    <t>U:ANF(WC08001)~U$</t>
  </si>
  <si>
    <t>ABERCROMBIE &amp; FITCH - NET CASH FLOW - FINANCING</t>
  </si>
  <si>
    <t>U:ANF(WC04890)~U$</t>
  </si>
  <si>
    <t>ABERCROMBIE &amp; FITCH - NET CASH FLOW - INVESTING</t>
  </si>
  <si>
    <t>U:ANF(WC04870)~U$</t>
  </si>
  <si>
    <t>ABERCROMBIE &amp; FITCH - NET CASH FLOW-OPERATING ACTIVS</t>
  </si>
  <si>
    <t>U:ANF(WC04860)~U$</t>
  </si>
  <si>
    <t>ABERCROMBIE &amp; FITCH - NET DEBT</t>
  </si>
  <si>
    <t>U:ANF(WC18199)~U$</t>
  </si>
  <si>
    <t>ABERCROMBIE &amp; FITCH - NET INCOME - DILUTED</t>
  </si>
  <si>
    <t>U:ANF(WC01705)~U$</t>
  </si>
  <si>
    <t>ABERCROMBIE &amp; FITCH - NET SALES OR REVENUES</t>
  </si>
  <si>
    <t>U:ANF(WC01001)~U$</t>
  </si>
  <si>
    <t>ABERCROMBIE &amp; FITCH - NON-OPERATING INTEREST INCOME</t>
  </si>
  <si>
    <t>U:ANF(WC01266)~U$</t>
  </si>
  <si>
    <t>ABERCROMBIE &amp; FITCH - OPERATING EXPENSES - TOTAL</t>
  </si>
  <si>
    <t>U:ANF(WC01249)~U$</t>
  </si>
  <si>
    <t>ABERCROMBIE &amp; FITCH - OPERATING INCOME</t>
  </si>
  <si>
    <t>U:ANF(WC01250)~U$</t>
  </si>
  <si>
    <t>ABERCROMBIE &amp; FITCH - PRETAX INCOME</t>
  </si>
  <si>
    <t>U:ANF(WC01401)~U$</t>
  </si>
  <si>
    <t>ABERCROMBIE &amp; FITCH - PROPERTY, PLANT &amp; EQUIP - NET</t>
  </si>
  <si>
    <t>U:ANF(WC02501)~U$</t>
  </si>
  <si>
    <t>ABERCROMBIE &amp; FITCH - RECEIVABLES(NET)</t>
  </si>
  <si>
    <t>U:ANF(WC02051)~U$</t>
  </si>
  <si>
    <t>ABERCROMBIE &amp; FITCH - SELLING, GENERAL &amp; ADMINISTRAT</t>
  </si>
  <si>
    <t>U:ANF(WC01101)~U$</t>
  </si>
  <si>
    <t>ABERCROMBIE &amp; FITCH - SHORT TERM DEBT &amp; CURRENT PORT</t>
  </si>
  <si>
    <t>U:ANF(WC03051)~U$</t>
  </si>
  <si>
    <t>ABERCROMBIE &amp; FITCH - TOTAL ASSETS</t>
  </si>
  <si>
    <t>U:ANF(WC02999)~U$</t>
  </si>
  <si>
    <t>ABERCROMBIE &amp; FITCH - TOTAL CAPITAL</t>
  </si>
  <si>
    <t>U:ANF(WC03998)~U$</t>
  </si>
  <si>
    <t>ABERCROMBIE &amp; FITCH - TOTAL DEBT</t>
  </si>
  <si>
    <t>U:ANF(WC03255)~U$</t>
  </si>
  <si>
    <t>ABERCROMBIE &amp; FITCH - TOTAL INTANGIBLE OT ASSETS-NET</t>
  </si>
  <si>
    <t>U:ANF(WC02649)~U$</t>
  </si>
  <si>
    <t>ABERCROMBIE &amp; FITCH - TOTAL LIABILITIES</t>
  </si>
  <si>
    <t>U:ANF(WC03351)~U$</t>
  </si>
  <si>
    <t>ABERCROMBIE &amp; FITCH - TOTAL LIABILITIES &amp; SHAREHOLDE</t>
  </si>
  <si>
    <t>U:ANF(WC03999)~U$</t>
  </si>
  <si>
    <t>ABERCROMBIE &amp; FITCH - TOTAL SHAREHOLDERS EQUITY</t>
  </si>
  <si>
    <t>U:ANF(WC03995)~U$</t>
  </si>
  <si>
    <t>ABERCROMBIE &amp; FITCH - WORKING CAPITAL</t>
  </si>
  <si>
    <t>U:ANF(WC03151)~U$</t>
  </si>
  <si>
    <t>ABERCROMBIE &amp; FITCH 'A' - BK VAL PS 12M FWD</t>
  </si>
  <si>
    <t>U:ANF(DIBV)~U$</t>
  </si>
  <si>
    <t>ABERCROMBIE &amp; FITCH 'A' - EV 12M FWD</t>
  </si>
  <si>
    <t>U:ANF(DIEV)~U$</t>
  </si>
  <si>
    <t>ABERCROMBIE &amp; FITCH 'A' - NET INCOME 12M FWD</t>
  </si>
  <si>
    <t>U:ANF(DINI)~U$</t>
  </si>
  <si>
    <t>ABERCROMBIE &amp; FITCH 'A' - PRETAX PRF 12M FWD</t>
  </si>
  <si>
    <t>U:ANF(DINP)~U$</t>
  </si>
  <si>
    <t>ABERCROMBIE &amp; FITCH 'A' - ROE 12M FWD</t>
  </si>
  <si>
    <t>U:ANF(DIRE)~U$</t>
  </si>
  <si>
    <t>ABERCROMBIE &amp; FITCH 'A' - SALES 12M FWD</t>
  </si>
  <si>
    <t>U:ANF(DISL)~U$</t>
  </si>
  <si>
    <t>ABERCROMBIE &amp; FITCH - DECREASE/INCR OTH ASTS/LIABILT</t>
  </si>
  <si>
    <t>U:ANF(WC04830)~U$</t>
  </si>
  <si>
    <t>ABERCROMBIE &amp; FITCH - DECREASE/INCREASE INVENTORIES</t>
  </si>
  <si>
    <t>U:ANF(WC04826)~U$</t>
  </si>
  <si>
    <t>ABERCROMBIE &amp; FITCH - DECREASE IN INVESTMENTS</t>
  </si>
  <si>
    <t>U:ANF(WC04440)~U$</t>
  </si>
  <si>
    <t>FAST RETAILING (FRA) - MARKET VALUE</t>
  </si>
  <si>
    <t>D:FR7(MV)~U$</t>
  </si>
  <si>
    <t>JP3802300008</t>
  </si>
  <si>
    <t>FAST RETAILING (FRA) - PER</t>
  </si>
  <si>
    <t>D:FR7(PE)</t>
  </si>
  <si>
    <t>FAST RETAILING (FRA) - 12MTH FORWARD EPS</t>
  </si>
  <si>
    <t>D:FR7(EPS1FD12)~U$</t>
  </si>
  <si>
    <t>FAST RETAILING (FRA)</t>
  </si>
  <si>
    <t>529E(D:FR7)</t>
  </si>
  <si>
    <t>Y</t>
  </si>
  <si>
    <t>384E(D:FR7)</t>
  </si>
  <si>
    <t>380E(D:FR7)</t>
  </si>
  <si>
    <t>157E(D:FR7)</t>
  </si>
  <si>
    <t>388E(D:FR7)</t>
  </si>
  <si>
    <t>334E(D:FR7)</t>
  </si>
  <si>
    <t>338E(D:FR7)</t>
  </si>
  <si>
    <t>251E(D:FR7)</t>
  </si>
  <si>
    <t>250E(D:FR7)</t>
  </si>
  <si>
    <t>553E(D:FR7)</t>
  </si>
  <si>
    <t>FAST RETAILING (FRA) - 12MTH TRAILING EPS</t>
  </si>
  <si>
    <t>D:FR7(EPS1TR12)~U$</t>
  </si>
  <si>
    <t>FAST RETAILING (FRA) - DIV.PER SHR.</t>
  </si>
  <si>
    <t>D:FR7(DPS)~U$</t>
  </si>
  <si>
    <t>354E(D:FR7)</t>
  </si>
  <si>
    <t>FAST RETAILING (FRA) - EARNINGS PER SHR</t>
  </si>
  <si>
    <t>D:FR7(EPS)~U$</t>
  </si>
  <si>
    <t>897E(D:FR7)</t>
  </si>
  <si>
    <t>400E(D:FR7)</t>
  </si>
  <si>
    <t>FAST RETAILING CO - ACCOUNTS PAYABLE</t>
  </si>
  <si>
    <t>D:FR7(WC03040)~U$</t>
  </si>
  <si>
    <t>FAST RETAILING CO - AMORTIZATION OF DEFERRED CHARG</t>
  </si>
  <si>
    <t>D:FR7(WC01150)~U$</t>
  </si>
  <si>
    <t>FAST RETAILING CO - AMORTIZATION-INTANGIBLE ASSETS</t>
  </si>
  <si>
    <t>D:FR7(WC04050)~U$</t>
  </si>
  <si>
    <t>FAST RETAILING CO - AMORTIZATION OF INTANGIBLES</t>
  </si>
  <si>
    <t>D:FR7(WC01149)~U$</t>
  </si>
  <si>
    <t>FAST RETAILING CO - BOOK VALUE-OUT SHARES-FISCAL</t>
  </si>
  <si>
    <t>D:FR7(WC05491)~U$</t>
  </si>
  <si>
    <t>FAST RETAILING CO - BOOK VALUE PER SHARE</t>
  </si>
  <si>
    <t>D:FR7(WC05476)~U$</t>
  </si>
  <si>
    <t>FAST RETAILING CO - CAPITAL EXPENDITURES</t>
  </si>
  <si>
    <t>D:FR7(WC04601)~U$</t>
  </si>
  <si>
    <t>FAST RETAILING CO - CASH</t>
  </si>
  <si>
    <t>D:FR7(WC02003)~U$</t>
  </si>
  <si>
    <t>FAST RETAILING CO - CASH - GENERIC</t>
  </si>
  <si>
    <t>D:FR7(WC02005)~U$</t>
  </si>
  <si>
    <t>FAST RETAILING CO - CASH &amp; SHORT TERM INVESTMENTS</t>
  </si>
  <si>
    <t>D:FR7(WC02001)~U$</t>
  </si>
  <si>
    <t>FAST RETAILING CO - CASH DIVIDENDS PAID - TOTAL</t>
  </si>
  <si>
    <t>D:FR7(WC04551)~U$</t>
  </si>
  <si>
    <t>FAST RETAILING CO - CASH FLOW PER SHARE</t>
  </si>
  <si>
    <t>D:FR7(WC05501)~U$</t>
  </si>
  <si>
    <t>FAST RETAILING CO - CASH FLOW PER SHARE - FIS YR</t>
  </si>
  <si>
    <t>D:FR7(WC05502)~U$</t>
  </si>
  <si>
    <t>FAST RETAILING CO - COMMON DIVIDENDS (CASH)</t>
  </si>
  <si>
    <t>D:FR7(WC05376)~U$</t>
  </si>
  <si>
    <t>FAST RETAILING CO - COMMON SHAREHOLDERS' EQUITY</t>
  </si>
  <si>
    <t>D:FR7(WC03501)~U$</t>
  </si>
  <si>
    <t>FAST RETAILING CO - COMMON STOCK</t>
  </si>
  <si>
    <t>D:FR7(WC03480)~U$</t>
  </si>
  <si>
    <t>FAST RETAILING CO - COST OF GOODS SOLD (EXCL DEP)</t>
  </si>
  <si>
    <t>D:FR7(WC01051)~U$</t>
  </si>
  <si>
    <t>FAST RETAILING CO - CURRENT ASSETS - TOTAL</t>
  </si>
  <si>
    <t>D:FR7(WC02201)~U$</t>
  </si>
  <si>
    <t>FAST RETAILING CO - CURRENT LIABILITIES-TOTAL</t>
  </si>
  <si>
    <t>D:FR7(WC03101)~U$</t>
  </si>
  <si>
    <t>FAST RETAILING CO - DEFERRED TAXES</t>
  </si>
  <si>
    <t>D:FR7(WC03263)~U$</t>
  </si>
  <si>
    <t>FAST RETAILING CO - DEPRECIATION AND DEPLETION</t>
  </si>
  <si>
    <t>D:FR7(WC04049)~U$</t>
  </si>
  <si>
    <t>FAST RETAILING CO - DEPRECIATION/DEPLETION/AMORT</t>
  </si>
  <si>
    <t>D:FR7(WC01151)~U$</t>
  </si>
  <si>
    <t>FAST RETAILING CO - DIVIDENDS PER SHARE</t>
  </si>
  <si>
    <t>D:FR7(WC05101)~U$</t>
  </si>
  <si>
    <t>FAST RETAILING CO - DIVIDENDS PER SHARE - FISCAL</t>
  </si>
  <si>
    <t>D:FR7(WC05110)~U$</t>
  </si>
  <si>
    <t>FAST RETAILING CO - EARNINGS BEF INTEREST &amp; TAXES</t>
  </si>
  <si>
    <t>D:FR7(WC18191)~U$</t>
  </si>
  <si>
    <t>FAST RETAILING CO - EBIT &amp; DEPRECIATION</t>
  </si>
  <si>
    <t>D:FR7(WC18198)~U$</t>
  </si>
  <si>
    <t>FAST RETAILING CO - EARNINGS PER SHARE</t>
  </si>
  <si>
    <t>D:FR7(WC05201)~U$</t>
  </si>
  <si>
    <t>FAST RETAILING CO - FISCAL EPS-FULLY DILUTED-YR</t>
  </si>
  <si>
    <t>D:FR7(WC10030)~U$</t>
  </si>
  <si>
    <t>FAST RETAILING CO - ENTERPRISE VALUE</t>
  </si>
  <si>
    <t>D:FR7(WC18100)~U$</t>
  </si>
  <si>
    <t>FAST RETAILING CO - GROSS INCOME</t>
  </si>
  <si>
    <t>D:FR7(WC01100)~U$</t>
  </si>
  <si>
    <t>FAST RETAILING CO - INCOME TAXES</t>
  </si>
  <si>
    <t>D:FR7(WC01451)~U$</t>
  </si>
  <si>
    <t>FAST RETAILING CO - INCREASE/DECREASE IN CASH/SHOR</t>
  </si>
  <si>
    <t>D:FR7(WC04851)~U$</t>
  </si>
  <si>
    <t>FAST RETAILING CO - INTEREST EXPENSE ON DEBT</t>
  </si>
  <si>
    <t>D:FR7(WC01251)~U$</t>
  </si>
  <si>
    <t>FAST RETAILING CO - TOTAL INVENTORIES</t>
  </si>
  <si>
    <t>D:FR7(WC02101)~U$</t>
  </si>
  <si>
    <t>FAST RETAILING CO - LONG TERM DEBT</t>
  </si>
  <si>
    <t>D:FR7(WC03251)~U$</t>
  </si>
  <si>
    <t>FAST RETAILING CO - MARKET CAPITALIZATION</t>
  </si>
  <si>
    <t>D:FR7(WC08001)~U$</t>
  </si>
  <si>
    <t>FAST RETAILING CO - NET CASH FLOW - FINANCING</t>
  </si>
  <si>
    <t>D:FR7(WC04890)~U$</t>
  </si>
  <si>
    <t>FAST RETAILING CO - NET CASH FLOW - INVESTING</t>
  </si>
  <si>
    <t>D:FR7(WC04870)~U$</t>
  </si>
  <si>
    <t>FAST RETAILING CO - NET CASH FLOW-OPERATING ACTIVS</t>
  </si>
  <si>
    <t>D:FR7(WC04860)~U$</t>
  </si>
  <si>
    <t>FAST RETAILING CO - NET DEBT</t>
  </si>
  <si>
    <t>D:FR7(WC18199)~U$</t>
  </si>
  <si>
    <t>FAST RETAILING CO - NET INCOME - DILUTED</t>
  </si>
  <si>
    <t>D:FR7(WC01705)~U$</t>
  </si>
  <si>
    <t>FAST RETAILING CO - NET SALES OR REVENUES</t>
  </si>
  <si>
    <t>D:FR7(WC01001)~U$</t>
  </si>
  <si>
    <t>FAST RETAILING CO - NON-OPERATING INTEREST INCOME</t>
  </si>
  <si>
    <t>D:FR7(WC01266)~U$</t>
  </si>
  <si>
    <t>FAST RETAILING CO - OPERATING EXPENSES - TOTAL</t>
  </si>
  <si>
    <t>D:FR7(WC01249)~U$</t>
  </si>
  <si>
    <t>FAST RETAILING CO - OPERATING INCOME</t>
  </si>
  <si>
    <t>D:FR7(WC01250)~U$</t>
  </si>
  <si>
    <t>FAST RETAILING CO - PRETAX INCOME</t>
  </si>
  <si>
    <t>D:FR7(WC01401)~U$</t>
  </si>
  <si>
    <t>FAST RETAILING CO - PROPERTY, PLANT &amp; EQUIP - NET</t>
  </si>
  <si>
    <t>D:FR7(WC02501)~U$</t>
  </si>
  <si>
    <t>FAST RETAILING CO - RECEIVABLES(NET)</t>
  </si>
  <si>
    <t>D:FR7(WC02051)~U$</t>
  </si>
  <si>
    <t>FAST RETAILING CO - SELLING, GENERAL &amp; ADMINISTRAT</t>
  </si>
  <si>
    <t>D:FR7(WC01101)~U$</t>
  </si>
  <si>
    <t>FAST RETAILING CO - SHORT TERM DEBT &amp; CURRENT PORT</t>
  </si>
  <si>
    <t>D:FR7(WC03051)~U$</t>
  </si>
  <si>
    <t>FAST RETAILING CO - TOTAL ASSETS</t>
  </si>
  <si>
    <t>D:FR7(WC02999)~U$</t>
  </si>
  <si>
    <t>FAST RETAILING CO - TOTAL CAPITAL</t>
  </si>
  <si>
    <t>D:FR7(WC03998)~U$</t>
  </si>
  <si>
    <t>FAST RETAILING CO - TOTAL DEBT</t>
  </si>
  <si>
    <t>D:FR7(WC03255)~U$</t>
  </si>
  <si>
    <t>FAST RETAILING CO - TOTAL INTANGIBLE OT ASSETS-NET</t>
  </si>
  <si>
    <t>D:FR7(WC02649)~U$</t>
  </si>
  <si>
    <t>FAST RETAILING CO - TOTAL LIABILITIES</t>
  </si>
  <si>
    <t>D:FR7(WC03351)~U$</t>
  </si>
  <si>
    <t>FAST RETAILING CO - TOTAL LIABILITIES &amp; SHAREHOLDE</t>
  </si>
  <si>
    <t>D:FR7(WC03999)~U$</t>
  </si>
  <si>
    <t>FAST RETAILING CO - TOTAL SHAREHOLDERS EQUITY</t>
  </si>
  <si>
    <t>D:FR7(WC03995)~U$</t>
  </si>
  <si>
    <t>FAST RETAILING CO - WORKING CAPITAL</t>
  </si>
  <si>
    <t>D:FR7(WC03151)~U$</t>
  </si>
  <si>
    <t>FAST RETAILING (FRA) - BK VAL PS 12M FWD</t>
  </si>
  <si>
    <t>D:FR7(DIBV)~U$</t>
  </si>
  <si>
    <t>FAST RETAILING (FRA) - EV 12M FWD</t>
  </si>
  <si>
    <t>D:FR7(DIEV)~U$</t>
  </si>
  <si>
    <t>FAST RETAILING (FRA) - NET INCOME 12M FWD</t>
  </si>
  <si>
    <t>D:FR7(DINI)~U$</t>
  </si>
  <si>
    <t>FAST RETAILING (FRA) - PRETAX PRF 12M FWD</t>
  </si>
  <si>
    <t>D:FR7(DINP)~U$</t>
  </si>
  <si>
    <t>FAST RETAILING (FRA) - ROE 12M FWD</t>
  </si>
  <si>
    <t>D:FR7(DIRE)~U$</t>
  </si>
  <si>
    <t>FAST RETAILING (FRA) - SALES 12M FWD</t>
  </si>
  <si>
    <t>D:FR7(DISL)~U$</t>
  </si>
  <si>
    <t>FAST RETAILING CO - DECREASE/INCREASE RECEIVABLES</t>
  </si>
  <si>
    <t>D:FR7(WC04825)~U$</t>
  </si>
  <si>
    <t>FAST RETAILING CO - DECREASE/INCR OTH ASTS/LIABILT</t>
  </si>
  <si>
    <t>D:FR7(WC04830)~U$</t>
  </si>
  <si>
    <t>FAST RETAILING CO - DECREASE/INCREASE INVENTORIES</t>
  </si>
  <si>
    <t>D:FR7(WC04826)~U$</t>
  </si>
  <si>
    <t>FAST RETAILING CO - DECREASE IN INVESTMENTS</t>
  </si>
  <si>
    <t>D:FR7(WC04440)~U$</t>
  </si>
  <si>
    <t>NIKE 'B' - MARKET VALUE</t>
  </si>
  <si>
    <t>U:NKE(MV)~U$</t>
  </si>
  <si>
    <t>US6541061031</t>
  </si>
  <si>
    <t>NIKE 'B' - PER</t>
  </si>
  <si>
    <t>U:NKE(PE)</t>
  </si>
  <si>
    <t>NIKE 'B' - 12MTH FORWARD EPS</t>
  </si>
  <si>
    <t>U:NKE(EPS1FD12)~U$</t>
  </si>
  <si>
    <t>NIKE 'B'</t>
  </si>
  <si>
    <t>529E(U:NKE)</t>
  </si>
  <si>
    <t>384E(U:NKE)</t>
  </si>
  <si>
    <t>380E(U:NKE)</t>
  </si>
  <si>
    <t>157E(U:NKE)</t>
  </si>
  <si>
    <t>388E(U:NKE)</t>
  </si>
  <si>
    <t>334E(U:NKE)</t>
  </si>
  <si>
    <t>338E(U:NKE)</t>
  </si>
  <si>
    <t>251E(U:NKE)</t>
  </si>
  <si>
    <t>250E(U:NKE)</t>
  </si>
  <si>
    <t>553E(U:NKE)</t>
  </si>
  <si>
    <t>NIKE 'B' - 12MTH TRAILING EPS</t>
  </si>
  <si>
    <t>U:NKE(EPS1TR12)~U$</t>
  </si>
  <si>
    <t>NIKE 'B' - DIV.PER SHR.</t>
  </si>
  <si>
    <t>U:NKE(DPS)~U$</t>
  </si>
  <si>
    <t>354E(U:NKE)</t>
  </si>
  <si>
    <t>NIKE 'B' - EARNINGS PER SHR</t>
  </si>
  <si>
    <t>U:NKE(EPS)~U$</t>
  </si>
  <si>
    <t>897E(U:NKE)</t>
  </si>
  <si>
    <t>400E(U:NKE)</t>
  </si>
  <si>
    <t>NIKE INC. - ACCOUNTS PAYABLE</t>
  </si>
  <si>
    <t>U:NKE(WC03040)~U$</t>
  </si>
  <si>
    <t>NIKE INC. - AMORTIZATION OF DEFERRED CHARG</t>
  </si>
  <si>
    <t>U:NKE(WC01150)~U$</t>
  </si>
  <si>
    <t>NIKE INC. - AMORTIZATION-INTANGIBLE ASSETS</t>
  </si>
  <si>
    <t>U:NKE(WC04050)~U$</t>
  </si>
  <si>
    <t>NIKE INC. - AMORTIZATION OF INTANGIBLES</t>
  </si>
  <si>
    <t>U:NKE(WC01149)~U$</t>
  </si>
  <si>
    <t>NIKE INC. - BOOK VALUE-OUT SHARES-FISCAL</t>
  </si>
  <si>
    <t>U:NKE(WC05491)~U$</t>
  </si>
  <si>
    <t>NIKE INC. - BOOK VALUE PER SHARE</t>
  </si>
  <si>
    <t>U:NKE(WC05476)~U$</t>
  </si>
  <si>
    <t>NIKE INC. - CAPITAL EXPENDITURES</t>
  </si>
  <si>
    <t>U:NKE(WC04601)~U$</t>
  </si>
  <si>
    <t>NIKE INC. - CASH</t>
  </si>
  <si>
    <t>U:NKE(WC02003)~U$</t>
  </si>
  <si>
    <t>NIKE INC. - CASH - GENERIC</t>
  </si>
  <si>
    <t>U:NKE(WC02005)~U$</t>
  </si>
  <si>
    <t>NIKE INC. - CASH &amp; SHORT TERM INVESTMENTS</t>
  </si>
  <si>
    <t>U:NKE(WC02001)~U$</t>
  </si>
  <si>
    <t>NIKE INC. - CASH DIVIDENDS PAID - TOTAL</t>
  </si>
  <si>
    <t>U:NKE(WC04551)~U$</t>
  </si>
  <si>
    <t>NIKE INC. - CASH FLOW PER SHARE</t>
  </si>
  <si>
    <t>U:NKE(WC05501)~U$</t>
  </si>
  <si>
    <t>NIKE INC. - CASH FLOW PER SHARE - FIS YR</t>
  </si>
  <si>
    <t>U:NKE(WC05502)~U$</t>
  </si>
  <si>
    <t>NIKE INC. - COMMON DIVIDENDS (CASH)</t>
  </si>
  <si>
    <t>U:NKE(WC05376)~U$</t>
  </si>
  <si>
    <t>NIKE INC. - COMMON SHAREHOLDERS' EQUITY</t>
  </si>
  <si>
    <t>U:NKE(WC03501)~U$</t>
  </si>
  <si>
    <t>NIKE INC. - COMMON STOCK</t>
  </si>
  <si>
    <t>U:NKE(WC03480)~U$</t>
  </si>
  <si>
    <t>NIKE INC. - COST OF GOODS SOLD (EXCL DEP)</t>
  </si>
  <si>
    <t>U:NKE(WC01051)~U$</t>
  </si>
  <si>
    <t>NIKE INC. - CURRENT ASSETS - TOTAL</t>
  </si>
  <si>
    <t>U:NKE(WC02201)~U$</t>
  </si>
  <si>
    <t>NIKE INC. - CURRENT LIABILITIES-TOTAL</t>
  </si>
  <si>
    <t>U:NKE(WC03101)~U$</t>
  </si>
  <si>
    <t>NIKE INC. - DEFERRED TAXES</t>
  </si>
  <si>
    <t>U:NKE(WC03263)~U$</t>
  </si>
  <si>
    <t>NIKE INC. - DEPRECIATION AND DEPLETION</t>
  </si>
  <si>
    <t>U:NKE(WC04049)~U$</t>
  </si>
  <si>
    <t>NIKE INC. - DEPRECIATION/DEPLETION/AMORT</t>
  </si>
  <si>
    <t>U:NKE(WC01151)~U$</t>
  </si>
  <si>
    <t>NIKE INC. - DIVIDENDS PER SHARE</t>
  </si>
  <si>
    <t>U:NKE(WC05101)~U$</t>
  </si>
  <si>
    <t>NIKE INC. - DIVIDENDS PER SHARE - FISCAL</t>
  </si>
  <si>
    <t>U:NKE(WC05110)~U$</t>
  </si>
  <si>
    <t>NIKE INC. - EARNINGS BEF INTEREST &amp; TAXES</t>
  </si>
  <si>
    <t>U:NKE(WC18191)~U$</t>
  </si>
  <si>
    <t>NIKE INC. - EBIT &amp; DEPRECIATION</t>
  </si>
  <si>
    <t>U:NKE(WC18198)~U$</t>
  </si>
  <si>
    <t>NIKE INC. - EARNINGS PER SHARE</t>
  </si>
  <si>
    <t>U:NKE(WC05201)~U$</t>
  </si>
  <si>
    <t>NIKE INC. - FISCAL EPS-FULLY DILUTED-YR</t>
  </si>
  <si>
    <t>U:NKE(WC10030)~U$</t>
  </si>
  <si>
    <t>NIKE INC. - ENTERPRISE VALUE</t>
  </si>
  <si>
    <t>U:NKE(WC18100)~U$</t>
  </si>
  <si>
    <t>NIKE INC. - GROSS INCOME</t>
  </si>
  <si>
    <t>U:NKE(WC01100)~U$</t>
  </si>
  <si>
    <t>NIKE INC. - INCOME TAXES</t>
  </si>
  <si>
    <t>U:NKE(WC01451)~U$</t>
  </si>
  <si>
    <t>NIKE INC. - INCREASE/DECREASE IN CASH/SHOR</t>
  </si>
  <si>
    <t>U:NKE(WC04851)~U$</t>
  </si>
  <si>
    <t>NIKE INC. - INTEREST EXPENSE ON DEBT</t>
  </si>
  <si>
    <t>U:NKE(WC01251)~U$</t>
  </si>
  <si>
    <t>NIKE INC. - TOTAL INVENTORIES</t>
  </si>
  <si>
    <t>U:NKE(WC02101)~U$</t>
  </si>
  <si>
    <t>NIKE INC. - LONG TERM DEBT</t>
  </si>
  <si>
    <t>U:NKE(WC03251)~U$</t>
  </si>
  <si>
    <t>NIKE INC. - MARKET CAPITALIZATION</t>
  </si>
  <si>
    <t>U:NKE(WC08001)~U$</t>
  </si>
  <si>
    <t>NIKE INC. - NET CASH FLOW - FINANCING</t>
  </si>
  <si>
    <t>U:NKE(WC04890)~U$</t>
  </si>
  <si>
    <t>NIKE INC. - NET CASH FLOW - INVESTING</t>
  </si>
  <si>
    <t>U:NKE(WC04870)~U$</t>
  </si>
  <si>
    <t>NIKE INC. - NET CASH FLOW-OPERATING ACTIVS</t>
  </si>
  <si>
    <t>U:NKE(WC04860)~U$</t>
  </si>
  <si>
    <t>NIKE INC. - NET DEBT</t>
  </si>
  <si>
    <t>U:NKE(WC18199)~U$</t>
  </si>
  <si>
    <t>NIKE INC. - NET INCOME - DILUTED</t>
  </si>
  <si>
    <t>U:NKE(WC01705)~U$</t>
  </si>
  <si>
    <t>NIKE INC. - NET SALES OR REVENUES</t>
  </si>
  <si>
    <t>U:NKE(WC01001)~U$</t>
  </si>
  <si>
    <t>NIKE INC. - NON-OPERATING INTEREST INCOME</t>
  </si>
  <si>
    <t>U:NKE(WC01266)~U$</t>
  </si>
  <si>
    <t>NIKE INC. - OPERATING EXPENSES - TOTAL</t>
  </si>
  <si>
    <t>U:NKE(WC01249)~U$</t>
  </si>
  <si>
    <t>NIKE INC. - OPERATING INCOME</t>
  </si>
  <si>
    <t>U:NKE(WC01250)~U$</t>
  </si>
  <si>
    <t>NIKE INC. - PRETAX INCOME</t>
  </si>
  <si>
    <t>U:NKE(WC01401)~U$</t>
  </si>
  <si>
    <t>NIKE INC. - PROPERTY, PLANT &amp; EQUIP - NET</t>
  </si>
  <si>
    <t>U:NKE(WC02501)~U$</t>
  </si>
  <si>
    <t>NIKE INC. - RECEIVABLES(NET)</t>
  </si>
  <si>
    <t>U:NKE(WC02051)~U$</t>
  </si>
  <si>
    <t>NIKE INC. - SELLING, GENERAL &amp; ADMINISTRAT</t>
  </si>
  <si>
    <t>U:NKE(WC01101)~U$</t>
  </si>
  <si>
    <t>NIKE INC. - SHORT TERM DEBT &amp; CURRENT PORT</t>
  </si>
  <si>
    <t>U:NKE(WC03051)~U$</t>
  </si>
  <si>
    <t>NIKE INC. - TOTAL ASSETS</t>
  </si>
  <si>
    <t>U:NKE(WC02999)~U$</t>
  </si>
  <si>
    <t>NIKE INC. - TOTAL CAPITAL</t>
  </si>
  <si>
    <t>U:NKE(WC03998)~U$</t>
  </si>
  <si>
    <t>NIKE INC. - TOTAL DEBT</t>
  </si>
  <si>
    <t>U:NKE(WC03255)~U$</t>
  </si>
  <si>
    <t>NIKE INC. - TOTAL INTANGIBLE OT ASSETS-NET</t>
  </si>
  <si>
    <t>U:NKE(WC02649)~U$</t>
  </si>
  <si>
    <t>NIKE INC. - TOTAL LIABILITIES</t>
  </si>
  <si>
    <t>U:NKE(WC03351)~U$</t>
  </si>
  <si>
    <t>NIKE INC. - TOTAL LIABILITIES &amp; SHAREHOLDE</t>
  </si>
  <si>
    <t>U:NKE(WC03999)~U$</t>
  </si>
  <si>
    <t>NIKE INC. - TOTAL SHAREHOLDERS EQUITY</t>
  </si>
  <si>
    <t>U:NKE(WC03995)~U$</t>
  </si>
  <si>
    <t>NIKE INC. - WORKING CAPITAL</t>
  </si>
  <si>
    <t>U:NKE(WC03151)~U$</t>
  </si>
  <si>
    <t>NIKE 'B' - BK VAL PS 12M FWD</t>
  </si>
  <si>
    <t>U:NKE(DIBV)~U$</t>
  </si>
  <si>
    <t>NIKE 'B' - EV 12M FWD</t>
  </si>
  <si>
    <t>U:NKE(DIEV)~U$</t>
  </si>
  <si>
    <t>NIKE 'B' - NET INCOME 12M FWD</t>
  </si>
  <si>
    <t>U:NKE(DINI)~U$</t>
  </si>
  <si>
    <t>NIKE 'B' - PRETAX PRF 12M FWD</t>
  </si>
  <si>
    <t>U:NKE(DINP)~U$</t>
  </si>
  <si>
    <t>NIKE 'B' - ROE 12M FWD</t>
  </si>
  <si>
    <t>U:NKE(DIRE)~U$</t>
  </si>
  <si>
    <t>NIKE 'B' - SALES 12M FWD</t>
  </si>
  <si>
    <t>U:NKE(DISL)~U$</t>
  </si>
  <si>
    <t>NIKE INC. - DECREASE/INCREASE RECEIVABLES</t>
  </si>
  <si>
    <t>U:NKE(WC04825)~U$</t>
  </si>
  <si>
    <t>NIKE INC. - DECREASE/INCR OTH ASTS/LIABILT</t>
  </si>
  <si>
    <t>U:NKE(WC04830)~U$</t>
  </si>
  <si>
    <t>NIKE INC. - DECREASE/INCREASE INVENTORIES</t>
  </si>
  <si>
    <t>U:NKE(WC04826)~U$</t>
  </si>
  <si>
    <t>NIKE INC. - DECREASE IN INVESTMENTS</t>
  </si>
  <si>
    <t>U:NKE(WC04440)~U$</t>
  </si>
  <si>
    <t>ADIDAS - MARKET VALUE</t>
  </si>
  <si>
    <t>D:ADS(MV)~U$</t>
  </si>
  <si>
    <t>DE000A1EWWW0</t>
  </si>
  <si>
    <t>ADIDAS - PER</t>
  </si>
  <si>
    <t>D:ADS(PE)</t>
  </si>
  <si>
    <t>ADIDAS - 12MTH FORWARD EPS</t>
  </si>
  <si>
    <t>D:ADS(EPS1FD12)~U$</t>
  </si>
  <si>
    <t>ADIDAS</t>
  </si>
  <si>
    <t>529E(D:ADS)</t>
  </si>
  <si>
    <t>384E(D:ADS)</t>
  </si>
  <si>
    <t>380E(D:ADS)</t>
  </si>
  <si>
    <t>157E(D:ADS)</t>
  </si>
  <si>
    <t>388E(D:ADS)</t>
  </si>
  <si>
    <t>334E(D:ADS)</t>
  </si>
  <si>
    <t>338E(D:ADS)</t>
  </si>
  <si>
    <t>251E(D:ADS)</t>
  </si>
  <si>
    <t>250E(D:ADS)</t>
  </si>
  <si>
    <t>553E(D:ADS)</t>
  </si>
  <si>
    <t>ADIDAS - 12MTH TRAILING EPS</t>
  </si>
  <si>
    <t>D:ADS(EPS1TR12)~U$</t>
  </si>
  <si>
    <t>ADIDAS - DIV.PER SHR.</t>
  </si>
  <si>
    <t>D:ADS(DPS)~U$</t>
  </si>
  <si>
    <t>354E(D:ADS)</t>
  </si>
  <si>
    <t>ADIDAS - EARNINGS PER SHR</t>
  </si>
  <si>
    <t>D:ADS(EPS)~U$</t>
  </si>
  <si>
    <t>897E(D:ADS)</t>
  </si>
  <si>
    <t>400E(D:ADS)</t>
  </si>
  <si>
    <t>ADIDAS AG - ACCOUNTS PAYABLE</t>
  </si>
  <si>
    <t>D:ADS(WC03040)~U$</t>
  </si>
  <si>
    <t>ADIDAS AG - AMORTIZATION OF DEFERRED CHARG</t>
  </si>
  <si>
    <t>D:ADS(WC01150)~U$</t>
  </si>
  <si>
    <t>ADIDAS AG - AMORTIZATION OF INTANGIBLES</t>
  </si>
  <si>
    <t>D:ADS(WC01149)~U$</t>
  </si>
  <si>
    <t>ADIDAS AG - BOOK VALUE-OUT SHARES-FISCAL</t>
  </si>
  <si>
    <t>D:ADS(WC05491)~U$</t>
  </si>
  <si>
    <t>ADIDAS AG - BOOK VALUE PER SHARE</t>
  </si>
  <si>
    <t>D:ADS(WC05476)~U$</t>
  </si>
  <si>
    <t>ADIDAS AG - CAPITAL EXPENDITURES</t>
  </si>
  <si>
    <t>D:ADS(WC04601)~U$</t>
  </si>
  <si>
    <t>ADIDAS AG - CASH</t>
  </si>
  <si>
    <t>D:ADS(WC02003)~U$</t>
  </si>
  <si>
    <t>ADIDAS AG - CASH - GENERIC</t>
  </si>
  <si>
    <t>D:ADS(WC02005)~U$</t>
  </si>
  <si>
    <t>ADIDAS AG - CASH &amp; SHORT TERM INVESTMENTS</t>
  </si>
  <si>
    <t>D:ADS(WC02001)~U$</t>
  </si>
  <si>
    <t>ADIDAS AG - CASH DIVIDENDS PAID - TOTAL</t>
  </si>
  <si>
    <t>D:ADS(WC04551)~U$</t>
  </si>
  <si>
    <t>ADIDAS AG - CASH FLOW PER SHARE</t>
  </si>
  <si>
    <t>D:ADS(WC05501)~U$</t>
  </si>
  <si>
    <t>ADIDAS AG - CASH FLOW PER SHARE - FIS YR</t>
  </si>
  <si>
    <t>D:ADS(WC05502)~U$</t>
  </si>
  <si>
    <t>ADIDAS AG - COMMON DIVIDENDS (CASH)</t>
  </si>
  <si>
    <t>D:ADS(WC05376)~U$</t>
  </si>
  <si>
    <t>ADIDAS AG - COMMON SHAREHOLDERS' EQUITY</t>
  </si>
  <si>
    <t>D:ADS(WC03501)~U$</t>
  </si>
  <si>
    <t>ADIDAS AG - COMMON STOCK</t>
  </si>
  <si>
    <t>D:ADS(WC03480)~U$</t>
  </si>
  <si>
    <t>ADIDAS AG - COST OF GOODS SOLD (EXCL DEP)</t>
  </si>
  <si>
    <t>D:ADS(WC01051)~U$</t>
  </si>
  <si>
    <t>ADIDAS AG - CURRENT ASSETS - TOTAL</t>
  </si>
  <si>
    <t>D:ADS(WC02201)~U$</t>
  </si>
  <si>
    <t>ADIDAS AG - CURRENT LIABILITIES-TOTAL</t>
  </si>
  <si>
    <t>D:ADS(WC03101)~U$</t>
  </si>
  <si>
    <t>ADIDAS AG - DEFERRED TAXES</t>
  </si>
  <si>
    <t>D:ADS(WC03263)~U$</t>
  </si>
  <si>
    <t>ADIDAS AG - DEPRECIATION AND DEPLETION</t>
  </si>
  <si>
    <t>D:ADS(WC04049)~U$</t>
  </si>
  <si>
    <t>ADIDAS AG - DEPRECIATION/DEPLETION/AMORT</t>
  </si>
  <si>
    <t>D:ADS(WC01151)~U$</t>
  </si>
  <si>
    <t>ADIDAS AG - DIVIDENDS PER SHARE</t>
  </si>
  <si>
    <t>D:ADS(WC05101)~U$</t>
  </si>
  <si>
    <t>ADIDAS AG - DIVIDENDS PER SHARE - FISCAL</t>
  </si>
  <si>
    <t>D:ADS(WC05110)~U$</t>
  </si>
  <si>
    <t>ADIDAS AG - EARNINGS BEF INTEREST &amp; TAXES</t>
  </si>
  <si>
    <t>D:ADS(WC18191)~U$</t>
  </si>
  <si>
    <t>ADIDAS AG - EBIT &amp; DEPRECIATION</t>
  </si>
  <si>
    <t>D:ADS(WC18198)~U$</t>
  </si>
  <si>
    <t>ADIDAS AG - EARNINGS PER SHARE</t>
  </si>
  <si>
    <t>D:ADS(WC05201)~U$</t>
  </si>
  <si>
    <t>ADIDAS AG - FISCAL EPS-FULLY DILUTED-YR</t>
  </si>
  <si>
    <t>D:ADS(WC10030)~U$</t>
  </si>
  <si>
    <t>ADIDAS AG - ENTERPRISE VALUE</t>
  </si>
  <si>
    <t>D:ADS(WC18100)~U$</t>
  </si>
  <si>
    <t>ADIDAS AG - GROSS INCOME</t>
  </si>
  <si>
    <t>D:ADS(WC01100)~U$</t>
  </si>
  <si>
    <t>ADIDAS AG - IMPAIRMENT- OTHER INTANGIBLES</t>
  </si>
  <si>
    <t>D:ADS(WC18226)~U$</t>
  </si>
  <si>
    <t>ADIDAS AG - INCOME TAXES</t>
  </si>
  <si>
    <t>D:ADS(WC01451)~U$</t>
  </si>
  <si>
    <t>ADIDAS AG - INCREASE/DECREASE IN CASH/SHOR</t>
  </si>
  <si>
    <t>D:ADS(WC04851)~U$</t>
  </si>
  <si>
    <t>ADIDAS AG - INTEREST EXPENSE ON DEBT</t>
  </si>
  <si>
    <t>D:ADS(WC01251)~U$</t>
  </si>
  <si>
    <t>ADIDAS AG - TOTAL INVENTORIES</t>
  </si>
  <si>
    <t>D:ADS(WC02101)~U$</t>
  </si>
  <si>
    <t>ADIDAS AG - LONG TERM DEBT</t>
  </si>
  <si>
    <t>D:ADS(WC03251)~U$</t>
  </si>
  <si>
    <t>ADIDAS AG - MARKET CAPITALIZATION</t>
  </si>
  <si>
    <t>D:ADS(WC08001)~U$</t>
  </si>
  <si>
    <t>ADIDAS AG - NET CASH FLOW - FINANCING</t>
  </si>
  <si>
    <t>D:ADS(WC04890)~U$</t>
  </si>
  <si>
    <t>ADIDAS AG - NET CASH FLOW - INVESTING</t>
  </si>
  <si>
    <t>D:ADS(WC04870)~U$</t>
  </si>
  <si>
    <t>ADIDAS AG - NET CASH FLOW-OPERATING ACTIVS</t>
  </si>
  <si>
    <t>D:ADS(WC04860)~U$</t>
  </si>
  <si>
    <t>ADIDAS AG - NET DEBT</t>
  </si>
  <si>
    <t>D:ADS(WC18199)~U$</t>
  </si>
  <si>
    <t>ADIDAS AG - NET INCOME - DILUTED</t>
  </si>
  <si>
    <t>D:ADS(WC01705)~U$</t>
  </si>
  <si>
    <t>ADIDAS AG - NET SALES OR REVENUES</t>
  </si>
  <si>
    <t>D:ADS(WC01001)~U$</t>
  </si>
  <si>
    <t>ADIDAS AG - NON-OPERATING INTEREST INCOME</t>
  </si>
  <si>
    <t>D:ADS(WC01266)~U$</t>
  </si>
  <si>
    <t>ADIDAS AG - OPERATING EXPENSES - TOTAL</t>
  </si>
  <si>
    <t>D:ADS(WC01249)~U$</t>
  </si>
  <si>
    <t>ADIDAS AG - OPERATING INCOME</t>
  </si>
  <si>
    <t>D:ADS(WC01250)~U$</t>
  </si>
  <si>
    <t>ADIDAS AG - PRETAX INCOME</t>
  </si>
  <si>
    <t>D:ADS(WC01401)~U$</t>
  </si>
  <si>
    <t>ADIDAS AG - PROPERTY, PLANT &amp; EQUIP - NET</t>
  </si>
  <si>
    <t>D:ADS(WC02501)~U$</t>
  </si>
  <si>
    <t>ADIDAS AG - RECEIVABLES(NET)</t>
  </si>
  <si>
    <t>D:ADS(WC02051)~U$</t>
  </si>
  <si>
    <t>ADIDAS AG - RESEARCH &amp; DEVELOPMENT</t>
  </si>
  <si>
    <t>D:ADS(WC01201)~U$</t>
  </si>
  <si>
    <t>ADIDAS AG - SELLING, GENERAL &amp; ADMINISTRAT</t>
  </si>
  <si>
    <t>D:ADS(WC01101)~U$</t>
  </si>
  <si>
    <t>ADIDAS AG - SHORT TERM DEBT &amp; CURRENT PORT</t>
  </si>
  <si>
    <t>D:ADS(WC03051)~U$</t>
  </si>
  <si>
    <t>ADIDAS AG - TOTAL ASSETS</t>
  </si>
  <si>
    <t>D:ADS(WC02999)~U$</t>
  </si>
  <si>
    <t>ADIDAS AG - TOTAL CAPITAL</t>
  </si>
  <si>
    <t>D:ADS(WC03998)~U$</t>
  </si>
  <si>
    <t>ADIDAS AG - TOTAL DEBT</t>
  </si>
  <si>
    <t>D:ADS(WC03255)~U$</t>
  </si>
  <si>
    <t>ADIDAS AG - TOTAL INTANGIBLE OT ASSETS-NET</t>
  </si>
  <si>
    <t>D:ADS(WC02649)~U$</t>
  </si>
  <si>
    <t>ADIDAS AG - TOTAL LIABILITIES</t>
  </si>
  <si>
    <t>D:ADS(WC03351)~U$</t>
  </si>
  <si>
    <t>ADIDAS AG - TOTAL LIABILITIES &amp; SHAREHOLDE</t>
  </si>
  <si>
    <t>D:ADS(WC03999)~U$</t>
  </si>
  <si>
    <t>ADIDAS AG - TOTAL SHAREHOLDERS EQUITY</t>
  </si>
  <si>
    <t>D:ADS(WC03995)~U$</t>
  </si>
  <si>
    <t>ADIDAS AG - WORKING CAPITAL</t>
  </si>
  <si>
    <t>D:ADS(WC03151)~U$</t>
  </si>
  <si>
    <t>ADIDAS - BK VAL PS 12M FWD</t>
  </si>
  <si>
    <t>D:ADS(DIBV)~U$</t>
  </si>
  <si>
    <t>ADIDAS - EV 12M FWD</t>
  </si>
  <si>
    <t>D:ADS(DIEV)~U$</t>
  </si>
  <si>
    <t>ADIDAS - NET INCOME 12M FWD</t>
  </si>
  <si>
    <t>D:ADS(DINI)~U$</t>
  </si>
  <si>
    <t>ADIDAS - PRETAX PRF 12M FWD</t>
  </si>
  <si>
    <t>D:ADS(DINP)~U$</t>
  </si>
  <si>
    <t>ADIDAS - ROE 12M FWD</t>
  </si>
  <si>
    <t>D:ADS(DIRE)~U$</t>
  </si>
  <si>
    <t>ADIDAS - SALES 12M FWD</t>
  </si>
  <si>
    <t>D:ADS(DISL)~U$</t>
  </si>
  <si>
    <t>ADIDAS AG - DECREASE/INCREASE RECEIVABLES</t>
  </si>
  <si>
    <t>D:ADS(WC04825)~U$</t>
  </si>
  <si>
    <t>ADIDAS AG - DECREASE/INCREASE INVENTORIES</t>
  </si>
  <si>
    <t>D:ADS(WC04826)~U$</t>
  </si>
  <si>
    <t>ADIDAS AG - DECREASE IN INVESTMENTS</t>
  </si>
  <si>
    <t>D:ADS(WC04440)~U$</t>
  </si>
  <si>
    <t>LULULEMON ATHLETICA - MARKET VALUE</t>
  </si>
  <si>
    <t>@LULU(MV)~U$</t>
  </si>
  <si>
    <t>US5500211090</t>
  </si>
  <si>
    <t>LULULEMON ATHLETICA - PER</t>
  </si>
  <si>
    <t>@LULU(PE)</t>
  </si>
  <si>
    <t>LULULEMON ATHLETICA - 12MTH FORWARD EPS</t>
  </si>
  <si>
    <t>@LULU(EPS1FD12)~U$</t>
  </si>
  <si>
    <t>LULULEMON ATHLETICA</t>
  </si>
  <si>
    <t>529E(@LULU)</t>
  </si>
  <si>
    <t>384E(@LULU)</t>
  </si>
  <si>
    <t>380E(@LULU)</t>
  </si>
  <si>
    <t>157E(@LULU)</t>
  </si>
  <si>
    <t>388E(@LULU)</t>
  </si>
  <si>
    <t>334E(@LULU)</t>
  </si>
  <si>
    <t>338E(@LULU)</t>
  </si>
  <si>
    <t>251E(@LULU)</t>
  </si>
  <si>
    <t>250E(@LULU)</t>
  </si>
  <si>
    <t>553E(@LULU)</t>
  </si>
  <si>
    <t>LULULEMON ATHLETICA - 12MTH TRAILING EPS</t>
  </si>
  <si>
    <t>@LULU(EPS1TR12)~U$</t>
  </si>
  <si>
    <t>LULULEMON ATHLETICA - DIV.PER SHR.</t>
  </si>
  <si>
    <t>@LULU(DPS)~U$</t>
  </si>
  <si>
    <t>354E(@LULU)</t>
  </si>
  <si>
    <t>LULULEMON ATHLETICA - EARNINGS PER SHR</t>
  </si>
  <si>
    <t>@LULU(EPS)~U$</t>
  </si>
  <si>
    <t>897E(@LULU)</t>
  </si>
  <si>
    <t>400E(@LULU)</t>
  </si>
  <si>
    <t>LULULEMON ATHLETIC - ACCOUNTS PAYABLE</t>
  </si>
  <si>
    <t>@LULU(WC03040)~U$</t>
  </si>
  <si>
    <t>LULULEMON ATHLETIC - AMORTIZATION OF DEFERRED CHARG</t>
  </si>
  <si>
    <t>@LULU(WC01150)~U$</t>
  </si>
  <si>
    <t>LULULEMON ATHLETIC - AMORTIZATION-INTANGIBLE ASSETS</t>
  </si>
  <si>
    <t>@LULU(WC04050)~U$</t>
  </si>
  <si>
    <t>LULULEMON ATHLETIC - AMORTIZATION OF INTANGIBLES</t>
  </si>
  <si>
    <t>@LULU(WC01149)~U$</t>
  </si>
  <si>
    <t>LULULEMON ATHLETIC - BOOK VALUE-OUT SHARES-FISCAL</t>
  </si>
  <si>
    <t>@LULU(WC05491)~U$</t>
  </si>
  <si>
    <t>LULULEMON ATHLETIC - BOOK VALUE PER SHARE</t>
  </si>
  <si>
    <t>@LULU(WC05476)~U$</t>
  </si>
  <si>
    <t>LULULEMON ATHLETIC - CAPITAL EXPENDITURES</t>
  </si>
  <si>
    <t>@LULU(WC04601)~U$</t>
  </si>
  <si>
    <t>LULULEMON ATHLETIC - CASH</t>
  </si>
  <si>
    <t>@LULU(WC02003)~U$</t>
  </si>
  <si>
    <t>LULULEMON ATHLETIC - CASH - GENERIC</t>
  </si>
  <si>
    <t>@LULU(WC02005)~U$</t>
  </si>
  <si>
    <t>LULULEMON ATHLETIC - CASH &amp; SHORT TERM INVESTMENTS</t>
  </si>
  <si>
    <t>@LULU(WC02001)~U$</t>
  </si>
  <si>
    <t>LULULEMON ATHLETIC - CASH DIVIDENDS PAID - TOTAL</t>
  </si>
  <si>
    <t>@LULU(WC04551)~U$</t>
  </si>
  <si>
    <t>LULULEMON ATHLETIC - CASH FLOW PER SHARE</t>
  </si>
  <si>
    <t>@LULU(WC05501)~U$</t>
  </si>
  <si>
    <t>LULULEMON ATHLETIC - CASH FLOW PER SHARE - FIS YR</t>
  </si>
  <si>
    <t>@LULU(WC05502)~U$</t>
  </si>
  <si>
    <t>LULULEMON ATHLETIC - COMMON DIVIDENDS (CASH)</t>
  </si>
  <si>
    <t>@LULU(WC05376)~U$</t>
  </si>
  <si>
    <t>LULULEMON ATHLETIC - COMMON SHAREHOLDERS' EQUITY</t>
  </si>
  <si>
    <t>@LULU(WC03501)~U$</t>
  </si>
  <si>
    <t>LULULEMON ATHLETIC - COMMON STOCK</t>
  </si>
  <si>
    <t>@LULU(WC03480)~U$</t>
  </si>
  <si>
    <t>LULULEMON ATHLETIC - COST OF GOODS SOLD (EXCL DEP)</t>
  </si>
  <si>
    <t>@LULU(WC01051)~U$</t>
  </si>
  <si>
    <t>LULULEMON ATHLETIC - CURRENT ASSETS - TOTAL</t>
  </si>
  <si>
    <t>@LULU(WC02201)~U$</t>
  </si>
  <si>
    <t>LULULEMON ATHLETIC - CURRENT LIABILITIES-TOTAL</t>
  </si>
  <si>
    <t>@LULU(WC03101)~U$</t>
  </si>
  <si>
    <t>LULULEMON ATHLETIC - DEFERRED TAXES</t>
  </si>
  <si>
    <t>@LULU(WC03263)~U$</t>
  </si>
  <si>
    <t>LULULEMON ATHLETIC - DEPRECIATION AND DEPLETION</t>
  </si>
  <si>
    <t>@LULU(WC04049)~U$</t>
  </si>
  <si>
    <t>LULULEMON ATHLETIC - DEPRECIATION/DEPLETION/AMORT</t>
  </si>
  <si>
    <t>@LULU(WC01151)~U$</t>
  </si>
  <si>
    <t>LULULEMON ATHLETIC - DIVIDENDS PER SHARE</t>
  </si>
  <si>
    <t>@LULU(WC05101)~U$</t>
  </si>
  <si>
    <t>LULULEMON ATHLETIC - DIVIDENDS PER SHARE - FISCAL</t>
  </si>
  <si>
    <t>@LULU(WC05110)~U$</t>
  </si>
  <si>
    <t>LULULEMON ATHLETIC - EARNINGS BEF INTEREST &amp; TAXES</t>
  </si>
  <si>
    <t>@LULU(WC18191)~U$</t>
  </si>
  <si>
    <t>LULULEMON ATHLETIC - EBIT &amp; DEPRECIATION</t>
  </si>
  <si>
    <t>@LULU(WC18198)~U$</t>
  </si>
  <si>
    <t>LULULEMON ATHLETIC - EARNINGS PER SHARE</t>
  </si>
  <si>
    <t>@LULU(WC05201)~U$</t>
  </si>
  <si>
    <t>LULULEMON ATHLETIC - FISCAL EPS-FULLY DILUTED-YR</t>
  </si>
  <si>
    <t>@LULU(WC10030)~U$</t>
  </si>
  <si>
    <t>LULULEMON ATHLETIC - ENTERPRISE VALUE</t>
  </si>
  <si>
    <t>@LULU(WC18100)~U$</t>
  </si>
  <si>
    <t>LULULEMON ATHLETIC - GROSS INCOME</t>
  </si>
  <si>
    <t>@LULU(WC01100)~U$</t>
  </si>
  <si>
    <t>LULULEMON ATHLETIC - INCOME TAXES</t>
  </si>
  <si>
    <t>@LULU(WC01451)~U$</t>
  </si>
  <si>
    <t>LULULEMON ATHLETIC - INCREASE/DECREASE IN CASH/SHOR</t>
  </si>
  <si>
    <t>@LULU(WC04851)~U$</t>
  </si>
  <si>
    <t>LULULEMON ATHLETIC - INTEREST EXPENSE ON DEBT</t>
  </si>
  <si>
    <t>@LULU(WC01251)~U$</t>
  </si>
  <si>
    <t>LULULEMON ATHLETIC - TOTAL INVENTORIES</t>
  </si>
  <si>
    <t>@LULU(WC02101)~U$</t>
  </si>
  <si>
    <t>LULULEMON ATHLETIC - LONG TERM DEBT</t>
  </si>
  <si>
    <t>@LULU(WC03251)~U$</t>
  </si>
  <si>
    <t>LULULEMON ATHLETIC - MARKET CAPITALIZATION</t>
  </si>
  <si>
    <t>@LULU(WC08001)~U$</t>
  </si>
  <si>
    <t>LULULEMON ATHLETIC - NET CASH FLOW - FINANCING</t>
  </si>
  <si>
    <t>@LULU(WC04890)~U$</t>
  </si>
  <si>
    <t>LULULEMON ATHLETIC - NET CASH FLOW - INVESTING</t>
  </si>
  <si>
    <t>@LULU(WC04870)~U$</t>
  </si>
  <si>
    <t>LULULEMON ATHLETIC - NET CASH FLOW-OPERATING ACTIVS</t>
  </si>
  <si>
    <t>@LULU(WC04860)~U$</t>
  </si>
  <si>
    <t>LULULEMON ATHLETIC - NET DEBT</t>
  </si>
  <si>
    <t>@LULU(WC18199)~U$</t>
  </si>
  <si>
    <t>LULULEMON ATHLETIC - NET INCOME - DILUTED</t>
  </si>
  <si>
    <t>@LULU(WC01705)~U$</t>
  </si>
  <si>
    <t>LULULEMON ATHLETIC - NET SALES OR REVENUES</t>
  </si>
  <si>
    <t>@LULU(WC01001)~U$</t>
  </si>
  <si>
    <t>LULULEMON ATHLETIC - NON-OPERATING INTEREST INCOME</t>
  </si>
  <si>
    <t>@LULU(WC01266)~U$</t>
  </si>
  <si>
    <t>LULULEMON ATHLETIC - OPERATING EXPENSES - TOTAL</t>
  </si>
  <si>
    <t>@LULU(WC01249)~U$</t>
  </si>
  <si>
    <t>LULULEMON ATHLETIC - OPERATING INCOME</t>
  </si>
  <si>
    <t>@LULU(WC01250)~U$</t>
  </si>
  <si>
    <t>LULULEMON ATHLETIC - PRETAX INCOME</t>
  </si>
  <si>
    <t>@LULU(WC01401)~U$</t>
  </si>
  <si>
    <t>LULULEMON ATHLETIC - PROPERTY, PLANT &amp; EQUIP - NET</t>
  </si>
  <si>
    <t>@LULU(WC02501)~U$</t>
  </si>
  <si>
    <t>LULULEMON ATHLETIC - RECEIVABLES(NET)</t>
  </si>
  <si>
    <t>@LULU(WC02051)~U$</t>
  </si>
  <si>
    <t>LULULEMON ATHLETIC - RESEARCH &amp; DEVELOPMENT</t>
  </si>
  <si>
    <t>@LULU(WC01201)~U$</t>
  </si>
  <si>
    <t>LULULEMON ATHLETIC - SELLING, GENERAL &amp; ADMINISTRAT</t>
  </si>
  <si>
    <t>@LULU(WC01101)~U$</t>
  </si>
  <si>
    <t>LULULEMON ATHLETIC - SHORT TERM DEBT &amp; CURRENT PORT</t>
  </si>
  <si>
    <t>@LULU(WC03051)~U$</t>
  </si>
  <si>
    <t>LULULEMON ATHLETIC - TOTAL ASSETS</t>
  </si>
  <si>
    <t>@LULU(WC02999)~U$</t>
  </si>
  <si>
    <t>LULULEMON ATHLETIC - TOTAL CAPITAL</t>
  </si>
  <si>
    <t>@LULU(WC03998)~U$</t>
  </si>
  <si>
    <t>LULULEMON ATHLETIC - TOTAL DEBT</t>
  </si>
  <si>
    <t>@LULU(WC03255)~U$</t>
  </si>
  <si>
    <t>LULULEMON ATHLETIC - TOTAL INTANGIBLE OT ASSETS-NET</t>
  </si>
  <si>
    <t>@LULU(WC02649)~U$</t>
  </si>
  <si>
    <t>LULULEMON ATHLETIC - TOTAL LIABILITIES</t>
  </si>
  <si>
    <t>@LULU(WC03351)~U$</t>
  </si>
  <si>
    <t>LULULEMON ATHLETIC - TOTAL LIABILITIES &amp; SHAREHOLDE</t>
  </si>
  <si>
    <t>@LULU(WC03999)~U$</t>
  </si>
  <si>
    <t>LULULEMON ATHLETIC - TOTAL SHAREHOLDERS EQUITY</t>
  </si>
  <si>
    <t>@LULU(WC03995)~U$</t>
  </si>
  <si>
    <t>LULULEMON ATHLETIC - WORKING CAPITAL</t>
  </si>
  <si>
    <t>@LULU(WC03151)~U$</t>
  </si>
  <si>
    <t>LULULEMON ATHLETICA - BK VAL PS 12M FWD</t>
  </si>
  <si>
    <t>@LULU(DIBV)~U$</t>
  </si>
  <si>
    <t>LULULEMON ATHLETICA - EV 12M FWD</t>
  </si>
  <si>
    <t>@LULU(DIEV)~U$</t>
  </si>
  <si>
    <t>LULULEMON ATHLETICA - NET INCOME 12M FWD</t>
  </si>
  <si>
    <t>@LULU(DINI)~U$</t>
  </si>
  <si>
    <t>LULULEMON ATHLETICA - PRETAX PRF 12M FWD</t>
  </si>
  <si>
    <t>@LULU(DINP)~U$</t>
  </si>
  <si>
    <t>LULULEMON ATHLETICA - ROE 12M FWD</t>
  </si>
  <si>
    <t>@LULU(DIRE)~U$</t>
  </si>
  <si>
    <t>LULULEMON ATHLETICA - SALES 12M FWD</t>
  </si>
  <si>
    <t>@LULU(DISL)~U$</t>
  </si>
  <si>
    <t>LULULEMON ATHLETIC - DECREASE/INCREASE RECEIVABLES</t>
  </si>
  <si>
    <t>@LULU(WC04825)~U$</t>
  </si>
  <si>
    <t>LULULEMON ATHLETIC - DECREASE/INCR OTH ASTS/LIABILT</t>
  </si>
  <si>
    <t>@LULU(WC04830)~U$</t>
  </si>
  <si>
    <t>LULULEMON ATHLETIC - DECREASE/INCREASE INVENTORIES</t>
  </si>
  <si>
    <t>@LULU(WC04826)~U$</t>
  </si>
  <si>
    <t>LULULEMON ATHLETIC - DECREASE IN INVESTMENTS</t>
  </si>
  <si>
    <t>@LULU(WC04440)~U$</t>
  </si>
  <si>
    <t>HENNES &amp; MAURITZ B - MARKET VALUE</t>
  </si>
  <si>
    <t>W:HMBF(MV)~U$</t>
  </si>
  <si>
    <t>SE0000106270</t>
  </si>
  <si>
    <t>HENNES &amp; MAURITZ B - PER</t>
  </si>
  <si>
    <t>W:HMBF(PE)</t>
  </si>
  <si>
    <t>SK</t>
  </si>
  <si>
    <t>HENNES &amp; MAURITZ B - 12MTH FORWARD EPS</t>
  </si>
  <si>
    <t>W:HMBF(EPS1FD12)~U$</t>
  </si>
  <si>
    <t>HENNES &amp; MAURITZ B</t>
  </si>
  <si>
    <t>529E(W:HMBF)</t>
  </si>
  <si>
    <t>384E(W:HMBF)</t>
  </si>
  <si>
    <t>380E(W:HMBF)</t>
  </si>
  <si>
    <t>157E(W:HMBF)</t>
  </si>
  <si>
    <t>388E(W:HMBF)</t>
  </si>
  <si>
    <t>334E(W:HMBF)</t>
  </si>
  <si>
    <t>338E(W:HMBF)</t>
  </si>
  <si>
    <t>251E(W:HMBF)</t>
  </si>
  <si>
    <t>250E(W:HMBF)</t>
  </si>
  <si>
    <t>553E(W:HMBF)</t>
  </si>
  <si>
    <t>HENNES &amp; MAURITZ B - 12MTH TRAILING EPS</t>
  </si>
  <si>
    <t>W:HMBF(EPS1TR12)~U$</t>
  </si>
  <si>
    <t>HENNES &amp; MAURITZ B - DIV.PER SHR.</t>
  </si>
  <si>
    <t>W:HMBF(DPS)~U$</t>
  </si>
  <si>
    <t>354E(W:HMBF)</t>
  </si>
  <si>
    <t>HENNES &amp; MAURITZ B - EARNINGS PER SHR</t>
  </si>
  <si>
    <t>W:HMBF(EPS)~U$</t>
  </si>
  <si>
    <t>897E(W:HMBF)</t>
  </si>
  <si>
    <t>400E(W:HMBF)</t>
  </si>
  <si>
    <t>HENNES &amp; MAURITZ AB - ACCOUNTS PAYABLE</t>
  </si>
  <si>
    <t>W:HMBF(WC03040)~U$</t>
  </si>
  <si>
    <t>HENNES &amp; MAURITZ AB - AMORTIZATION OF DEFERRED CHARG</t>
  </si>
  <si>
    <t>W:HMBF(WC01150)~U$</t>
  </si>
  <si>
    <t>HENNES &amp; MAURITZ AB - AMORTIZATION-INTANGIBLE ASSETS</t>
  </si>
  <si>
    <t>W:HMBF(WC04050)~U$</t>
  </si>
  <si>
    <t>HENNES &amp; MAURITZ AB - AMORTIZATION OF INTANGIBLES</t>
  </si>
  <si>
    <t>W:HMBF(WC01149)~U$</t>
  </si>
  <si>
    <t>HENNES &amp; MAURITZ AB - BOOK VALUE-OUT SHARES-FISCAL</t>
  </si>
  <si>
    <t>W:HMBF(WC05491)~U$</t>
  </si>
  <si>
    <t>HENNES &amp; MAURITZ AB - BOOK VALUE PER SHARE</t>
  </si>
  <si>
    <t>W:HMBF(WC05476)~U$</t>
  </si>
  <si>
    <t>HENNES &amp; MAURITZ AB - CAPITAL EXPENDITURES</t>
  </si>
  <si>
    <t>W:HMBF(WC04601)~U$</t>
  </si>
  <si>
    <t>HENNES &amp; MAURITZ AB - CASH</t>
  </si>
  <si>
    <t>W:HMBF(WC02003)~U$</t>
  </si>
  <si>
    <t>HENNES &amp; MAURITZ AB - CASH - GENERIC</t>
  </si>
  <si>
    <t>W:HMBF(WC02005)~U$</t>
  </si>
  <si>
    <t>HENNES &amp; MAURITZ AB - CASH &amp; SHORT TERM INVESTMENTS</t>
  </si>
  <si>
    <t>W:HMBF(WC02001)~U$</t>
  </si>
  <si>
    <t>HENNES &amp; MAURITZ AB - CASH DIVIDENDS PAID - TOTAL</t>
  </si>
  <si>
    <t>W:HMBF(WC04551)~U$</t>
  </si>
  <si>
    <t>HENNES &amp; MAURITZ AB - CASH FLOW PER SHARE</t>
  </si>
  <si>
    <t>W:HMBF(WC05501)~U$</t>
  </si>
  <si>
    <t>HENNES &amp; MAURITZ AB - CASH FLOW PER SHARE - FIS YR</t>
  </si>
  <si>
    <t>W:HMBF(WC05502)~U$</t>
  </si>
  <si>
    <t>HENNES &amp; MAURITZ AB - COMMON DIVIDENDS (CASH)</t>
  </si>
  <si>
    <t>W:HMBF(WC05376)~U$</t>
  </si>
  <si>
    <t>HENNES &amp; MAURITZ AB - COMMON SHAREHOLDERS' EQUITY</t>
  </si>
  <si>
    <t>W:HMBF(WC03501)~U$</t>
  </si>
  <si>
    <t>HENNES &amp; MAURITZ AB - COMMON STOCK</t>
  </si>
  <si>
    <t>W:HMBF(WC03480)~U$</t>
  </si>
  <si>
    <t>HENNES &amp; MAURITZ AB - COST OF GOODS SOLD (EXCL DEP)</t>
  </si>
  <si>
    <t>W:HMBF(WC01051)~U$</t>
  </si>
  <si>
    <t>HENNES &amp; MAURITZ AB - CURRENT ASSETS - TOTAL</t>
  </si>
  <si>
    <t>W:HMBF(WC02201)~U$</t>
  </si>
  <si>
    <t>HENNES &amp; MAURITZ AB - CURRENT LIABILITIES-TOTAL</t>
  </si>
  <si>
    <t>W:HMBF(WC03101)~U$</t>
  </si>
  <si>
    <t>HENNES &amp; MAURITZ AB - DEFERRED TAXES</t>
  </si>
  <si>
    <t>W:HMBF(WC03263)~U$</t>
  </si>
  <si>
    <t>HENNES &amp; MAURITZ AB - DEPRECIATION AND DEPLETION</t>
  </si>
  <si>
    <t>W:HMBF(WC04049)~U$</t>
  </si>
  <si>
    <t>HENNES &amp; MAURITZ AB - DEPRECIATION/DEPLETION/AMORT</t>
  </si>
  <si>
    <t>W:HMBF(WC01151)~U$</t>
  </si>
  <si>
    <t>HENNES &amp; MAURITZ AB - DIVIDENDS PER SHARE</t>
  </si>
  <si>
    <t>W:HMBF(WC05101)~U$</t>
  </si>
  <si>
    <t>HENNES &amp; MAURITZ AB - DIVIDENDS PER SHARE - FISCAL</t>
  </si>
  <si>
    <t>W:HMBF(WC05110)~U$</t>
  </si>
  <si>
    <t>HENNES &amp; MAURITZ AB - EARNINGS BEF INTEREST &amp; TAXES</t>
  </si>
  <si>
    <t>W:HMBF(WC18191)~U$</t>
  </si>
  <si>
    <t>HENNES &amp; MAURITZ AB - EBIT &amp; DEPRECIATION</t>
  </si>
  <si>
    <t>W:HMBF(WC18198)~U$</t>
  </si>
  <si>
    <t>HENNES &amp; MAURITZ AB - EARNINGS PER SHARE</t>
  </si>
  <si>
    <t>W:HMBF(WC05201)~U$</t>
  </si>
  <si>
    <t>HENNES &amp; MAURITZ AB - FISCAL EPS-FULLY DILUTED-YR</t>
  </si>
  <si>
    <t>W:HMBF(WC10030)~U$</t>
  </si>
  <si>
    <t>HENNES &amp; MAURITZ AB - ENTERPRISE VALUE</t>
  </si>
  <si>
    <t>W:HMBF(WC18100)~U$</t>
  </si>
  <si>
    <t>HENNES &amp; MAURITZ AB - GROSS INCOME</t>
  </si>
  <si>
    <t>W:HMBF(WC01100)~U$</t>
  </si>
  <si>
    <t>HENNES &amp; MAURITZ AB - IMPAIRMENT- OTHER INTANGIBLES</t>
  </si>
  <si>
    <t>W:HMBF(WC18226)~U$</t>
  </si>
  <si>
    <t>HENNES &amp; MAURITZ AB - INCOME TAXES</t>
  </si>
  <si>
    <t>W:HMBF(WC01451)~U$</t>
  </si>
  <si>
    <t>HENNES &amp; MAURITZ AB - INCREASE/DECREASE IN CASH/SHOR</t>
  </si>
  <si>
    <t>W:HMBF(WC04851)~U$</t>
  </si>
  <si>
    <t>HENNES &amp; MAURITZ AB - INTEREST EXPENSE ON DEBT</t>
  </si>
  <si>
    <t>W:HMBF(WC01251)~U$</t>
  </si>
  <si>
    <t>HENNES &amp; MAURITZ AB - TOTAL INVENTORIES</t>
  </si>
  <si>
    <t>W:HMBF(WC02101)~U$</t>
  </si>
  <si>
    <t>HENNES &amp; MAURITZ AB - LONG TERM DEBT</t>
  </si>
  <si>
    <t>W:HMBF(WC03251)~U$</t>
  </si>
  <si>
    <t>HENNES &amp; MAURITZ AB - MARKET CAPITALIZATION</t>
  </si>
  <si>
    <t>W:HMBF(WC08001)~U$</t>
  </si>
  <si>
    <t>HENNES &amp; MAURITZ AB - NET CASH FLOW - FINANCING</t>
  </si>
  <si>
    <t>W:HMBF(WC04890)~U$</t>
  </si>
  <si>
    <t>HENNES &amp; MAURITZ AB - NET CASH FLOW - INVESTING</t>
  </si>
  <si>
    <t>W:HMBF(WC04870)~U$</t>
  </si>
  <si>
    <t>HENNES &amp; MAURITZ AB - NET CASH FLOW-OPERATING ACTIVS</t>
  </si>
  <si>
    <t>W:HMBF(WC04860)~U$</t>
  </si>
  <si>
    <t>HENNES &amp; MAURITZ AB - NET DEBT</t>
  </si>
  <si>
    <t>W:HMBF(WC18199)~U$</t>
  </si>
  <si>
    <t>HENNES &amp; MAURITZ AB - NET INCOME - DILUTED</t>
  </si>
  <si>
    <t>W:HMBF(WC01705)~U$</t>
  </si>
  <si>
    <t>HENNES &amp; MAURITZ AB - NET SALES OR REVENUES</t>
  </si>
  <si>
    <t>W:HMBF(WC01001)~U$</t>
  </si>
  <si>
    <t>HENNES &amp; MAURITZ AB - NON-OPERATING INTEREST INCOME</t>
  </si>
  <si>
    <t>W:HMBF(WC01266)~U$</t>
  </si>
  <si>
    <t>HENNES &amp; MAURITZ AB - OPERATING EXPENSES - TOTAL</t>
  </si>
  <si>
    <t>W:HMBF(WC01249)~U$</t>
  </si>
  <si>
    <t>HENNES &amp; MAURITZ AB - OPERATING INCOME</t>
  </si>
  <si>
    <t>W:HMBF(WC01250)~U$</t>
  </si>
  <si>
    <t>HENNES &amp; MAURITZ AB - PRETAX INCOME</t>
  </si>
  <si>
    <t>W:HMBF(WC01401)~U$</t>
  </si>
  <si>
    <t>HENNES &amp; MAURITZ AB - PROPERTY, PLANT &amp; EQUIP - NET</t>
  </si>
  <si>
    <t>W:HMBF(WC02501)~U$</t>
  </si>
  <si>
    <t>HENNES &amp; MAURITZ AB - RECEIVABLES(NET)</t>
  </si>
  <si>
    <t>W:HMBF(WC02051)~U$</t>
  </si>
  <si>
    <t>HENNES &amp; MAURITZ AB - SELLING, GENERAL &amp; ADMINISTRAT</t>
  </si>
  <si>
    <t>W:HMBF(WC01101)~U$</t>
  </si>
  <si>
    <t>HENNES &amp; MAURITZ AB - SHORT TERM DEBT &amp; CURRENT PORT</t>
  </si>
  <si>
    <t>W:HMBF(WC03051)~U$</t>
  </si>
  <si>
    <t>HENNES &amp; MAURITZ AB - TOTAL ASSETS</t>
  </si>
  <si>
    <t>W:HMBF(WC02999)~U$</t>
  </si>
  <si>
    <t>HENNES &amp; MAURITZ AB - TOTAL CAPITAL</t>
  </si>
  <si>
    <t>W:HMBF(WC03998)~U$</t>
  </si>
  <si>
    <t>HENNES &amp; MAURITZ AB - TOTAL DEBT</t>
  </si>
  <si>
    <t>W:HMBF(WC03255)~U$</t>
  </si>
  <si>
    <t>HENNES &amp; MAURITZ AB - TOTAL INTANGIBLE OT ASSETS-NET</t>
  </si>
  <si>
    <t>W:HMBF(WC02649)~U$</t>
  </si>
  <si>
    <t>HENNES &amp; MAURITZ AB - TOTAL LIABILITIES</t>
  </si>
  <si>
    <t>W:HMBF(WC03351)~U$</t>
  </si>
  <si>
    <t>HENNES &amp; MAURITZ AB - TOTAL LIABILITIES &amp; SHAREHOLDE</t>
  </si>
  <si>
    <t>W:HMBF(WC03999)~U$</t>
  </si>
  <si>
    <t>HENNES &amp; MAURITZ AB - TOTAL SHAREHOLDERS EQUITY</t>
  </si>
  <si>
    <t>W:HMBF(WC03995)~U$</t>
  </si>
  <si>
    <t>HENNES &amp; MAURITZ AB - WORKING CAPITAL</t>
  </si>
  <si>
    <t>W:HMBF(WC03151)~U$</t>
  </si>
  <si>
    <t>HENNES &amp; MAURITZ B - BK VAL PS 12M FWD</t>
  </si>
  <si>
    <t>W:HMBF(DIBV)~U$</t>
  </si>
  <si>
    <t>HENNES &amp; MAURITZ B - EV 12M FWD</t>
  </si>
  <si>
    <t>W:HMBF(DIEV)~U$</t>
  </si>
  <si>
    <t>HENNES &amp; MAURITZ B - NET INCOME 12M FWD</t>
  </si>
  <si>
    <t>W:HMBF(DINI)~U$</t>
  </si>
  <si>
    <t>HENNES &amp; MAURITZ B - PRETAX PRF 12M FWD</t>
  </si>
  <si>
    <t>W:HMBF(DINP)~U$</t>
  </si>
  <si>
    <t>HENNES &amp; MAURITZ B - ROE 12M FWD</t>
  </si>
  <si>
    <t>W:HMBF(DIRE)~U$</t>
  </si>
  <si>
    <t>HENNES &amp; MAURITZ B - SALES 12M FWD</t>
  </si>
  <si>
    <t>W:HMBF(DISL)~U$</t>
  </si>
  <si>
    <t>HENNES &amp; MAURITZ AB - DECREASE/INCREASE RECEIVABLES</t>
  </si>
  <si>
    <t>W:HMBF(WC04825)~U$</t>
  </si>
  <si>
    <t>HENNES &amp; MAURITZ AB - DECREASE/INCR OTH ASTS/LIABILT</t>
  </si>
  <si>
    <t>W:HMBF(WC04830)~U$</t>
  </si>
  <si>
    <t>HENNES &amp; MAURITZ AB - DECREASE/INCREASE INVENTORIES</t>
  </si>
  <si>
    <t>W:HMBF(WC04826)~U$</t>
  </si>
  <si>
    <t>HENNES &amp; MAURITZ AB - DECREASE IN INVESTMENTS</t>
  </si>
  <si>
    <t>W:HMBF(WC04440)~U$</t>
  </si>
  <si>
    <t>LVMH - MARKET VALUE</t>
  </si>
  <si>
    <t>F:LVMH(MV)~U$</t>
  </si>
  <si>
    <t>FR0000121014</t>
  </si>
  <si>
    <t>LVMH - PER</t>
  </si>
  <si>
    <t>F:LVMH(PE)</t>
  </si>
  <si>
    <t>LVMH - 12MTH FORWARD EPS</t>
  </si>
  <si>
    <t>F:LVMH(EPS1FD12)~U$</t>
  </si>
  <si>
    <t>529E(F:LVMH)</t>
  </si>
  <si>
    <t>384E(F:LVMH)</t>
  </si>
  <si>
    <t>380E(F:LVMH)</t>
  </si>
  <si>
    <t>157E(F:LVMH)</t>
  </si>
  <si>
    <t>388E(F:LVMH)</t>
  </si>
  <si>
    <t>334E(F:LVMH)</t>
  </si>
  <si>
    <t>338E(F:LVMH)</t>
  </si>
  <si>
    <t>251E(F:LVMH)</t>
  </si>
  <si>
    <t>250E(F:LVMH)</t>
  </si>
  <si>
    <t>553E(F:LVMH)</t>
  </si>
  <si>
    <t>LVMH - 12MTH TRAILING EPS</t>
  </si>
  <si>
    <t>F:LVMH(EPS1TR12)~U$</t>
  </si>
  <si>
    <t>LVMH - DIV.PER SHR.</t>
  </si>
  <si>
    <t>F:LVMH(DPS)~U$</t>
  </si>
  <si>
    <t>354E(F:LVMH)</t>
  </si>
  <si>
    <t>LVMH - EARNINGS PER SHR</t>
  </si>
  <si>
    <t>F:LVMH(EPS)~U$</t>
  </si>
  <si>
    <t>897E(F:LVMH)</t>
  </si>
  <si>
    <t>400E(F:LVMH)</t>
  </si>
  <si>
    <t>LVMH MOET HENNESSY - ACCOUNTS PAYABLE</t>
  </si>
  <si>
    <t>F:LVMH(WC03040)~U$</t>
  </si>
  <si>
    <t>LVMH MOET HENNESSY - AMORT &amp; IMPAIR OF GOODWILL</t>
  </si>
  <si>
    <t>F:LVMH(WC18224)~U$</t>
  </si>
  <si>
    <t>LVMH MOET HENNESSY - AMORTIZATION OF DEFERRED CHARG</t>
  </si>
  <si>
    <t>F:LVMH(WC01150)~U$</t>
  </si>
  <si>
    <t>LVMH MOET HENNESSY - AMORTIZATION OF INTANGIBLES</t>
  </si>
  <si>
    <t>F:LVMH(WC01149)~U$</t>
  </si>
  <si>
    <t>LVMH MOET HENNESSY - BOOK VALUE-OUT SHARES-FISCAL</t>
  </si>
  <si>
    <t>F:LVMH(WC05491)~U$</t>
  </si>
  <si>
    <t>LVMH MOET HENNESSY - BOOK VALUE PER SHARE</t>
  </si>
  <si>
    <t>F:LVMH(WC05476)~U$</t>
  </si>
  <si>
    <t>LVMH MOET HENNESSY - CAPITAL EXPENDITURES</t>
  </si>
  <si>
    <t>F:LVMH(WC04601)~U$</t>
  </si>
  <si>
    <t>LVMH MOET HENNESSY - CASH</t>
  </si>
  <si>
    <t>F:LVMH(WC02003)~U$</t>
  </si>
  <si>
    <t>LVMH MOET HENNESSY - CASH - GENERIC</t>
  </si>
  <si>
    <t>F:LVMH(WC02005)~U$</t>
  </si>
  <si>
    <t>LVMH MOET HENNESSY - CASH &amp; SHORT TERM INVESTMENTS</t>
  </si>
  <si>
    <t>F:LVMH(WC02001)~U$</t>
  </si>
  <si>
    <t>LVMH MOET HENNESSY - CASH DIVIDENDS PAID - TOTAL</t>
  </si>
  <si>
    <t>F:LVMH(WC04551)~U$</t>
  </si>
  <si>
    <t>LVMH MOET HENNESSY - CASH FLOW PER SHARE</t>
  </si>
  <si>
    <t>F:LVMH(WC05501)~U$</t>
  </si>
  <si>
    <t>LVMH MOET HENNESSY - CASH FLOW PER SHARE - FIS YR</t>
  </si>
  <si>
    <t>F:LVMH(WC05502)~U$</t>
  </si>
  <si>
    <t>LVMH MOET HENNESSY - COMMON DIVIDENDS (CASH)</t>
  </si>
  <si>
    <t>F:LVMH(WC05376)~U$</t>
  </si>
  <si>
    <t>LVMH MOET HENNESSY - COMMON SHAREHOLDERS' EQUITY</t>
  </si>
  <si>
    <t>F:LVMH(WC03501)~U$</t>
  </si>
  <si>
    <t>LVMH MOET HENNESSY - COMMON STOCK</t>
  </si>
  <si>
    <t>F:LVMH(WC03480)~U$</t>
  </si>
  <si>
    <t>LVMH MOET HENNESSY - COST OF GOODS SOLD (EXCL DEP)</t>
  </si>
  <si>
    <t>F:LVMH(WC01051)~U$</t>
  </si>
  <si>
    <t>LVMH MOET HENNESSY - CURRENT ASSETS - TOTAL</t>
  </si>
  <si>
    <t>F:LVMH(WC02201)~U$</t>
  </si>
  <si>
    <t>LVMH MOET HENNESSY - CURRENT LIABILITIES-TOTAL</t>
  </si>
  <si>
    <t>F:LVMH(WC03101)~U$</t>
  </si>
  <si>
    <t>LVMH MOET HENNESSY - DEFERRED TAXES</t>
  </si>
  <si>
    <t>F:LVMH(WC03263)~U$</t>
  </si>
  <si>
    <t>LVMH MOET HENNESSY - DEPRECIATION AND DEPLETION</t>
  </si>
  <si>
    <t>F:LVMH(WC04049)~U$</t>
  </si>
  <si>
    <t>LVMH MOET HENNESSY - DEPRECIATION/DEPLETION/AMORT</t>
  </si>
  <si>
    <t>F:LVMH(WC01151)~U$</t>
  </si>
  <si>
    <t>LVMH MOET HENNESSY - DIVIDENDS PER SHARE</t>
  </si>
  <si>
    <t>F:LVMH(WC05101)~U$</t>
  </si>
  <si>
    <t>LVMH MOET HENNESSY - DIVIDENDS PER SHARE - FISCAL</t>
  </si>
  <si>
    <t>F:LVMH(WC05110)~U$</t>
  </si>
  <si>
    <t>LVMH MOET HENNESSY - EARNINGS BEF INTEREST &amp; TAXES</t>
  </si>
  <si>
    <t>F:LVMH(WC18191)~U$</t>
  </si>
  <si>
    <t>LVMH MOET HENNESSY - EBIT &amp; DEPRECIATION</t>
  </si>
  <si>
    <t>F:LVMH(WC18198)~U$</t>
  </si>
  <si>
    <t>LVMH MOET HENNESSY - EARNINGS PER SHARE</t>
  </si>
  <si>
    <t>F:LVMH(WC05201)~U$</t>
  </si>
  <si>
    <t>LVMH MOET HENNESSY - FISCAL EPS-FULLY DILUTED-YR</t>
  </si>
  <si>
    <t>F:LVMH(WC10030)~U$</t>
  </si>
  <si>
    <t>LVMH MOET HENNESSY - ENTERPRISE VALUE</t>
  </si>
  <si>
    <t>F:LVMH(WC18100)~U$</t>
  </si>
  <si>
    <t>LVMH MOET HENNESSY - GROSS INCOME</t>
  </si>
  <si>
    <t>F:LVMH(WC01100)~U$</t>
  </si>
  <si>
    <t>LVMH MOET HENNESSY - IMPAIRMENT OF GOODWILL</t>
  </si>
  <si>
    <t>F:LVMH(WC18225)~U$</t>
  </si>
  <si>
    <t>LVMH MOET HENNESSY - IMPAIRMENT- OTHER INTANGIBLES</t>
  </si>
  <si>
    <t>F:LVMH(WC18226)~U$</t>
  </si>
  <si>
    <t>LVMH MOET HENNESSY - INCOME TAXES</t>
  </si>
  <si>
    <t>F:LVMH(WC01451)~U$</t>
  </si>
  <si>
    <t>LVMH MOET HENNESSY - INCREASE/DECREASE IN CASH/SHOR</t>
  </si>
  <si>
    <t>F:LVMH(WC04851)~U$</t>
  </si>
  <si>
    <t>LVMH MOET HENNESSY - INTEREST EXPENSE ON DEBT</t>
  </si>
  <si>
    <t>F:LVMH(WC01251)~U$</t>
  </si>
  <si>
    <t>LVMH MOET HENNESSY - TOTAL INVENTORIES</t>
  </si>
  <si>
    <t>F:LVMH(WC02101)~U$</t>
  </si>
  <si>
    <t>LVMH MOET HENNESSY - LONG TERM DEBT</t>
  </si>
  <si>
    <t>F:LVMH(WC03251)~U$</t>
  </si>
  <si>
    <t>LVMH MOET HENNESSY - MARKET CAPITALIZATION</t>
  </si>
  <si>
    <t>F:LVMH(WC08001)~U$</t>
  </si>
  <si>
    <t>LVMH MOET HENNESSY - NET CASH FLOW - FINANCING</t>
  </si>
  <si>
    <t>F:LVMH(WC04890)~U$</t>
  </si>
  <si>
    <t>LVMH MOET HENNESSY - NET CASH FLOW - INVESTING</t>
  </si>
  <si>
    <t>F:LVMH(WC04870)~U$</t>
  </si>
  <si>
    <t>LVMH MOET HENNESSY - NET CASH FLOW-OPERATING ACTIVS</t>
  </si>
  <si>
    <t>F:LVMH(WC04860)~U$</t>
  </si>
  <si>
    <t>LVMH MOET HENNESSY - NET DEBT</t>
  </si>
  <si>
    <t>F:LVMH(WC18199)~U$</t>
  </si>
  <si>
    <t>LVMH MOET HENNESSY - NET INCOME - DILUTED</t>
  </si>
  <si>
    <t>F:LVMH(WC01705)~U$</t>
  </si>
  <si>
    <t>LVMH MOET HENNESSY - NET SALES OR REVENUES</t>
  </si>
  <si>
    <t>F:LVMH(WC01001)~U$</t>
  </si>
  <si>
    <t>LVMH MOET HENNESSY - NON-OPERATING INTEREST INCOME</t>
  </si>
  <si>
    <t>F:LVMH(WC01266)~U$</t>
  </si>
  <si>
    <t>LVMH MOET HENNESSY - OPERATING EXPENSES - TOTAL</t>
  </si>
  <si>
    <t>F:LVMH(WC01249)~U$</t>
  </si>
  <si>
    <t>LVMH MOET HENNESSY - OPERATING INCOME</t>
  </si>
  <si>
    <t>F:LVMH(WC01250)~U$</t>
  </si>
  <si>
    <t>LVMH MOET HENNESSY - PRETAX INCOME</t>
  </si>
  <si>
    <t>F:LVMH(WC01401)~U$</t>
  </si>
  <si>
    <t>LVMH MOET HENNESSY - PROPERTY, PLANT &amp; EQUIP - NET</t>
  </si>
  <si>
    <t>F:LVMH(WC02501)~U$</t>
  </si>
  <si>
    <t>LVMH MOET HENNESSY - RECEIVABLES(NET)</t>
  </si>
  <si>
    <t>F:LVMH(WC02051)~U$</t>
  </si>
  <si>
    <t>LVMH MOET HENNESSY - RESEARCH &amp; DEVELOPMENT</t>
  </si>
  <si>
    <t>F:LVMH(WC01201)~U$</t>
  </si>
  <si>
    <t>LVMH MOET HENNESSY - SELLING, GENERAL &amp; ADMINISTRAT</t>
  </si>
  <si>
    <t>F:LVMH(WC01101)~U$</t>
  </si>
  <si>
    <t>LVMH MOET HENNESSY - SHORT TERM DEBT &amp; CURRENT PORT</t>
  </si>
  <si>
    <t>F:LVMH(WC03051)~U$</t>
  </si>
  <si>
    <t>LVMH MOET HENNESSY - TOTAL ASSETS</t>
  </si>
  <si>
    <t>F:LVMH(WC02999)~U$</t>
  </si>
  <si>
    <t>LVMH MOET HENNESSY - TOTAL CAPITAL</t>
  </si>
  <si>
    <t>F:LVMH(WC03998)~U$</t>
  </si>
  <si>
    <t>LVMH MOET HENNESSY - TOTAL DEBT</t>
  </si>
  <si>
    <t>F:LVMH(WC03255)~U$</t>
  </si>
  <si>
    <t>LVMH MOET HENNESSY - TOTAL INTANGIBLE OT ASSETS-NET</t>
  </si>
  <si>
    <t>F:LVMH(WC02649)~U$</t>
  </si>
  <si>
    <t>LVMH MOET HENNESSY - TOTAL LIABILITIES</t>
  </si>
  <si>
    <t>F:LVMH(WC03351)~U$</t>
  </si>
  <si>
    <t>LVMH MOET HENNESSY - TOTAL LIABILITIES &amp; SHAREHOLDE</t>
  </si>
  <si>
    <t>F:LVMH(WC03999)~U$</t>
  </si>
  <si>
    <t>LVMH MOET HENNESSY - TOTAL SHAREHOLDERS EQUITY</t>
  </si>
  <si>
    <t>F:LVMH(WC03995)~U$</t>
  </si>
  <si>
    <t>LVMH MOET HENNESSY - WORKING CAPITAL</t>
  </si>
  <si>
    <t>F:LVMH(WC03151)~U$</t>
  </si>
  <si>
    <t>LVMH - BK VAL PS 12M FWD</t>
  </si>
  <si>
    <t>F:LVMH(DIBV)~U$</t>
  </si>
  <si>
    <t>LVMH - EV 12M FWD</t>
  </si>
  <si>
    <t>F:LVMH(DIEV)~U$</t>
  </si>
  <si>
    <t>LVMH - NET INCOME 12M FWD</t>
  </si>
  <si>
    <t>F:LVMH(DINI)~U$</t>
  </si>
  <si>
    <t>LVMH - PRETAX PRF 12M FWD</t>
  </si>
  <si>
    <t>F:LVMH(DINP)~U$</t>
  </si>
  <si>
    <t>LVMH - ROE 12M FWD</t>
  </si>
  <si>
    <t>F:LVMH(DIRE)~U$</t>
  </si>
  <si>
    <t>LVMH - SALES 12M FWD</t>
  </si>
  <si>
    <t>F:LVMH(DISL)~U$</t>
  </si>
  <si>
    <t>LVMH MOET HENNESSY - DECREASE/INCREASE RECEIVABLES</t>
  </si>
  <si>
    <t>F:LVMH(WC04825)~U$</t>
  </si>
  <si>
    <t>LVMH MOET HENNESSY - DECREASE/INCR OTH ASTS/LIABILT</t>
  </si>
  <si>
    <t>F:LVMH(WC04830)~U$</t>
  </si>
  <si>
    <t>LVMH MOET HENNESSY - DECREASE/INCREASE INVENTORIES</t>
  </si>
  <si>
    <t>F:LVMH(WC04826)~U$</t>
  </si>
  <si>
    <t>LVMH MOET HENNESSY - DECREASE IN INVESTMENTS</t>
  </si>
  <si>
    <t>F:LVMH(WC04440)~U$</t>
  </si>
  <si>
    <t>HERMES INTL. - MARKET VALUE</t>
  </si>
  <si>
    <t>F:RMS(MV)~U$</t>
  </si>
  <si>
    <t>FR0000052292</t>
  </si>
  <si>
    <t>HERMES INTL. - PER</t>
  </si>
  <si>
    <t>F:RMS(PE)</t>
  </si>
  <si>
    <t>HERMES INTL. - 12MTH FORWARD EPS</t>
  </si>
  <si>
    <t>F:RMS(EPS1FD12)~U$</t>
  </si>
  <si>
    <t>HERMES INTL.</t>
  </si>
  <si>
    <t>529E(F:RMS)</t>
  </si>
  <si>
    <t>384E(F:RMS)</t>
  </si>
  <si>
    <t>380E(F:RMS)</t>
  </si>
  <si>
    <t>157E(F:RMS)</t>
  </si>
  <si>
    <t>388E(F:RMS)</t>
  </si>
  <si>
    <t>334E(F:RMS)</t>
  </si>
  <si>
    <t>338E(F:RMS)</t>
  </si>
  <si>
    <t>251E(F:RMS)</t>
  </si>
  <si>
    <t>250E(F:RMS)</t>
  </si>
  <si>
    <t>553E(F:RMS)</t>
  </si>
  <si>
    <t>HERMES INTL. - 12MTH TRAILING EPS</t>
  </si>
  <si>
    <t>F:RMS(EPS1TR12)~U$</t>
  </si>
  <si>
    <t>HERMES INTL. - DIV.PER SHR.</t>
  </si>
  <si>
    <t>F:RMS(DPS)~U$</t>
  </si>
  <si>
    <t>354E(F:RMS)</t>
  </si>
  <si>
    <t>HERMES INTL. - EARNINGS PER SHR</t>
  </si>
  <si>
    <t>F:RMS(EPS)~U$</t>
  </si>
  <si>
    <t>897E(F:RMS)</t>
  </si>
  <si>
    <t>400E(F:RMS)</t>
  </si>
  <si>
    <t>HERMES INTERNATIONAL - ACCOUNTS PAYABLE</t>
  </si>
  <si>
    <t>F:RMS(WC03040)~U$</t>
  </si>
  <si>
    <t>HERMES INTERNATIONAL - AMORTIZATION OF DEFERRED CHARG</t>
  </si>
  <si>
    <t>F:RMS(WC01150)~U$</t>
  </si>
  <si>
    <t>HERMES INTERNATIONAL - AMORTIZATION-INTANGIBLE ASSETS</t>
  </si>
  <si>
    <t>F:RMS(WC04050)~U$</t>
  </si>
  <si>
    <t>HERMES INTERNATIONAL - AMORTIZATION OF INTANGIBLES</t>
  </si>
  <si>
    <t>F:RMS(WC01149)~U$</t>
  </si>
  <si>
    <t>HERMES INTERNATIONAL - BOOK VALUE-OUT SHARES-FISCAL</t>
  </si>
  <si>
    <t>F:RMS(WC05491)~U$</t>
  </si>
  <si>
    <t>HERMES INTERNATIONAL - BOOK VALUE PER SHARE</t>
  </si>
  <si>
    <t>F:RMS(WC05476)~U$</t>
  </si>
  <si>
    <t>HERMES INTERNATIONAL - CAPITAL EXPENDITURES</t>
  </si>
  <si>
    <t>F:RMS(WC04601)~U$</t>
  </si>
  <si>
    <t>HERMES INTERNATIONAL - CASH</t>
  </si>
  <si>
    <t>F:RMS(WC02003)~U$</t>
  </si>
  <si>
    <t>HERMES INTERNATIONAL - CASH - GENERIC</t>
  </si>
  <si>
    <t>F:RMS(WC02005)~U$</t>
  </si>
  <si>
    <t>HERMES INTERNATIONAL - CASH &amp; SHORT TERM INVESTMENTS</t>
  </si>
  <si>
    <t>F:RMS(WC02001)~U$</t>
  </si>
  <si>
    <t>HERMES INTERNATIONAL - CASH DIVIDENDS PAID - TOTAL</t>
  </si>
  <si>
    <t>F:RMS(WC04551)~U$</t>
  </si>
  <si>
    <t>HERMES INTERNATIONAL - CASH FLOW PER SHARE</t>
  </si>
  <si>
    <t>F:RMS(WC05501)~U$</t>
  </si>
  <si>
    <t>HERMES INTERNATIONAL - CASH FLOW PER SHARE - FIS YR</t>
  </si>
  <si>
    <t>F:RMS(WC05502)~U$</t>
  </si>
  <si>
    <t>HERMES INTERNATIONAL - COMMON DIVIDENDS (CASH)</t>
  </si>
  <si>
    <t>F:RMS(WC05376)~U$</t>
  </si>
  <si>
    <t>HERMES INTERNATIONAL - COMMON SHAREHOLDERS' EQUITY</t>
  </si>
  <si>
    <t>F:RMS(WC03501)~U$</t>
  </si>
  <si>
    <t>HERMES INTERNATIONAL - COMMON STOCK</t>
  </si>
  <si>
    <t>F:RMS(WC03480)~U$</t>
  </si>
  <si>
    <t>HERMES INTERNATIONAL - COST OF GOODS SOLD (EXCL DEP)</t>
  </si>
  <si>
    <t>F:RMS(WC01051)~U$</t>
  </si>
  <si>
    <t>HERMES INTERNATIONAL - CURRENT ASSETS - TOTAL</t>
  </si>
  <si>
    <t>F:RMS(WC02201)~U$</t>
  </si>
  <si>
    <t>HERMES INTERNATIONAL - CURRENT LIABILITIES-TOTAL</t>
  </si>
  <si>
    <t>F:RMS(WC03101)~U$</t>
  </si>
  <si>
    <t>HERMES INTERNATIONAL - DEFERRED TAXES</t>
  </si>
  <si>
    <t>F:RMS(WC03263)~U$</t>
  </si>
  <si>
    <t>HERMES INTERNATIONAL - DEPRECIATION AND DEPLETION</t>
  </si>
  <si>
    <t>F:RMS(WC04049)~U$</t>
  </si>
  <si>
    <t>HERMES INTERNATIONAL - DEPRECIATION/DEPLETION/AMORT</t>
  </si>
  <si>
    <t>F:RMS(WC01151)~U$</t>
  </si>
  <si>
    <t>HERMES INTERNATIONAL - DIVIDENDS PER SHARE</t>
  </si>
  <si>
    <t>F:RMS(WC05101)~U$</t>
  </si>
  <si>
    <t>HERMES INTERNATIONAL - DIVIDENDS PER SHARE - FISCAL</t>
  </si>
  <si>
    <t>F:RMS(WC05110)~U$</t>
  </si>
  <si>
    <t>HERMES INTERNATIONAL - EARNINGS BEF INTEREST &amp; TAXES</t>
  </si>
  <si>
    <t>F:RMS(WC18191)~U$</t>
  </si>
  <si>
    <t>HERMES INTERNATIONAL - EBIT &amp; DEPRECIATION</t>
  </si>
  <si>
    <t>F:RMS(WC18198)~U$</t>
  </si>
  <si>
    <t>HERMES INTERNATIONAL - EARNINGS PER SHARE</t>
  </si>
  <si>
    <t>F:RMS(WC05201)~U$</t>
  </si>
  <si>
    <t>HERMES INTERNATIONAL - FISCAL EPS-FULLY DILUTED-YR</t>
  </si>
  <si>
    <t>F:RMS(WC10030)~U$</t>
  </si>
  <si>
    <t>HERMES INTERNATIONAL - ENTERPRISE VALUE</t>
  </si>
  <si>
    <t>F:RMS(WC18100)~U$</t>
  </si>
  <si>
    <t>HERMES INTERNATIONAL - GROSS INCOME</t>
  </si>
  <si>
    <t>F:RMS(WC01100)~U$</t>
  </si>
  <si>
    <t>HERMES INTERNATIONAL - IMPAIRMENT- OTHER INTANGIBLES</t>
  </si>
  <si>
    <t>F:RMS(WC18226)~U$</t>
  </si>
  <si>
    <t>HERMES INTERNATIONAL - INCOME TAXES</t>
  </si>
  <si>
    <t>F:RMS(WC01451)~U$</t>
  </si>
  <si>
    <t>HERMES INTERNATIONAL - INCREASE/DECREASE IN CASH/SHOR</t>
  </si>
  <si>
    <t>F:RMS(WC04851)~U$</t>
  </si>
  <si>
    <t>HERMES INTERNATIONAL - INTEREST EXPENSE ON DEBT</t>
  </si>
  <si>
    <t>F:RMS(WC01251)~U$</t>
  </si>
  <si>
    <t>HERMES INTERNATIONAL - TOTAL INVENTORIES</t>
  </si>
  <si>
    <t>F:RMS(WC02101)~U$</t>
  </si>
  <si>
    <t>HERMES INTERNATIONAL - LONG TERM DEBT</t>
  </si>
  <si>
    <t>F:RMS(WC03251)~U$</t>
  </si>
  <si>
    <t>HERMES INTERNATIONAL - MARKET CAPITALIZATION</t>
  </si>
  <si>
    <t>F:RMS(WC08001)~U$</t>
  </si>
  <si>
    <t>HERMES INTERNATIONAL - NET CASH FLOW - FINANCING</t>
  </si>
  <si>
    <t>F:RMS(WC04890)~U$</t>
  </si>
  <si>
    <t>HERMES INTERNATIONAL - NET CASH FLOW - INVESTING</t>
  </si>
  <si>
    <t>F:RMS(WC04870)~U$</t>
  </si>
  <si>
    <t>HERMES INTERNATIONAL - NET CASH FLOW-OPERATING ACTIVS</t>
  </si>
  <si>
    <t>F:RMS(WC04860)~U$</t>
  </si>
  <si>
    <t>HERMES INTERNATIONAL - NET DEBT</t>
  </si>
  <si>
    <t>F:RMS(WC18199)~U$</t>
  </si>
  <si>
    <t>HERMES INTERNATIONAL - NET INCOME - DILUTED</t>
  </si>
  <si>
    <t>F:RMS(WC01705)~U$</t>
  </si>
  <si>
    <t>HERMES INTERNATIONAL - NET SALES OR REVENUES</t>
  </si>
  <si>
    <t>F:RMS(WC01001)~U$</t>
  </si>
  <si>
    <t>HERMES INTERNATIONAL - NON-OPERATING INTEREST INCOME</t>
  </si>
  <si>
    <t>F:RMS(WC01266)~U$</t>
  </si>
  <si>
    <t>HERMES INTERNATIONAL - OPERATING EXPENSES - TOTAL</t>
  </si>
  <si>
    <t>F:RMS(WC01249)~U$</t>
  </si>
  <si>
    <t>HERMES INTERNATIONAL - OPERATING INCOME</t>
  </si>
  <si>
    <t>F:RMS(WC01250)~U$</t>
  </si>
  <si>
    <t>HERMES INTERNATIONAL - PRETAX INCOME</t>
  </si>
  <si>
    <t>F:RMS(WC01401)~U$</t>
  </si>
  <si>
    <t>HERMES INTERNATIONAL - PROPERTY, PLANT &amp; EQUIP - NET</t>
  </si>
  <si>
    <t>F:RMS(WC02501)~U$</t>
  </si>
  <si>
    <t>HERMES INTERNATIONAL - RECEIVABLES(NET)</t>
  </si>
  <si>
    <t>F:RMS(WC02051)~U$</t>
  </si>
  <si>
    <t>HERMES INTERNATIONAL - SELLING, GENERAL &amp; ADMINISTRAT</t>
  </si>
  <si>
    <t>F:RMS(WC01101)~U$</t>
  </si>
  <si>
    <t>HERMES INTERNATIONAL - SHORT TERM DEBT &amp; CURRENT PORT</t>
  </si>
  <si>
    <t>F:RMS(WC03051)~U$</t>
  </si>
  <si>
    <t>HERMES INTERNATIONAL - TOTAL ASSETS</t>
  </si>
  <si>
    <t>F:RMS(WC02999)~U$</t>
  </si>
  <si>
    <t>HERMES INTERNATIONAL - TOTAL CAPITAL</t>
  </si>
  <si>
    <t>F:RMS(WC03998)~U$</t>
  </si>
  <si>
    <t>HERMES INTERNATIONAL - TOTAL DEBT</t>
  </si>
  <si>
    <t>F:RMS(WC03255)~U$</t>
  </si>
  <si>
    <t>HERMES INTERNATIONAL - TOTAL INTANGIBLE OT ASSETS-NET</t>
  </si>
  <si>
    <t>F:RMS(WC02649)~U$</t>
  </si>
  <si>
    <t>HERMES INTERNATIONAL - TOTAL LIABILITIES</t>
  </si>
  <si>
    <t>F:RMS(WC03351)~U$</t>
  </si>
  <si>
    <t>HERMES INTERNATIONAL - TOTAL LIABILITIES &amp; SHAREHOLDE</t>
  </si>
  <si>
    <t>F:RMS(WC03999)~U$</t>
  </si>
  <si>
    <t>HERMES INTERNATIONAL - TOTAL SHAREHOLDERS EQUITY</t>
  </si>
  <si>
    <t>F:RMS(WC03995)~U$</t>
  </si>
  <si>
    <t>HERMES INTERNATIONAL - WORKING CAPITAL</t>
  </si>
  <si>
    <t>F:RMS(WC03151)~U$</t>
  </si>
  <si>
    <t>HERMES INTL. - BK VAL PS 12M FWD</t>
  </si>
  <si>
    <t>F:RMS(DIBV)~U$</t>
  </si>
  <si>
    <t>HERMES INTL. - EV 12M FWD</t>
  </si>
  <si>
    <t>F:RMS(DIEV)~U$</t>
  </si>
  <si>
    <t>HERMES INTL. - NET INCOME 12M FWD</t>
  </si>
  <si>
    <t>F:RMS(DINI)~U$</t>
  </si>
  <si>
    <t>HERMES INTL. - PRETAX PRF 12M FWD</t>
  </si>
  <si>
    <t>F:RMS(DINP)~U$</t>
  </si>
  <si>
    <t>HERMES INTL. - ROE 12M FWD</t>
  </si>
  <si>
    <t>F:RMS(DIRE)~U$</t>
  </si>
  <si>
    <t>HERMES INTL. - SALES 12M FWD</t>
  </si>
  <si>
    <t>F:RMS(DISL)~U$</t>
  </si>
  <si>
    <t>HERMES INTERNATIONAL - DECREASE/INCREASE RECEIVABLES</t>
  </si>
  <si>
    <t>F:RMS(WC04825)~U$</t>
  </si>
  <si>
    <t>HERMES INTERNATIONAL - DECREASE/INCR OTH ASTS/LIABILT</t>
  </si>
  <si>
    <t>F:RMS(WC04830)~U$</t>
  </si>
  <si>
    <t>HERMES INTERNATIONAL - DECREASE/INCREASE INVENTORIES</t>
  </si>
  <si>
    <t>F:RMS(WC04826)~U$</t>
  </si>
  <si>
    <t>HERMES INTERNATIONAL - DECREASE IN INVESTMENTS</t>
  </si>
  <si>
    <t>F:RMS(WC04440)~U$</t>
  </si>
  <si>
    <t>CHRISTIAN DIOR - MARKET VALUE</t>
  </si>
  <si>
    <t>F:CDI(MV)~U$</t>
  </si>
  <si>
    <t>FR0000130403</t>
  </si>
  <si>
    <t>CHRISTIAN DIOR - PER</t>
  </si>
  <si>
    <t>F:CDI(PE)</t>
  </si>
  <si>
    <t>CHRISTIAN DIOR - 12MTH FORWARD EPS</t>
  </si>
  <si>
    <t>F:CDI(EPS1FD12)~U$</t>
  </si>
  <si>
    <t>CHRISTIAN DIOR</t>
  </si>
  <si>
    <t>529E(F:CDI)</t>
  </si>
  <si>
    <t>384E(F:CDI)</t>
  </si>
  <si>
    <t>380E(F:CDI)</t>
  </si>
  <si>
    <t>388E(F:CDI)</t>
  </si>
  <si>
    <t>334E(F:CDI)</t>
  </si>
  <si>
    <t>338E(F:CDI)</t>
  </si>
  <si>
    <t>251E(F:CDI)</t>
  </si>
  <si>
    <t>250E(F:CDI)</t>
  </si>
  <si>
    <t>553E(F:CDI)</t>
  </si>
  <si>
    <t>CHRISTIAN DIOR - 12MTH TRAILING EPS</t>
  </si>
  <si>
    <t>F:CDI(EPS1TR12)~U$</t>
  </si>
  <si>
    <t>CHRISTIAN DIOR - DIV.PER SHR.</t>
  </si>
  <si>
    <t>F:CDI(DPS)~U$</t>
  </si>
  <si>
    <t>354E(F:CDI)</t>
  </si>
  <si>
    <t>CHRISTIAN DIOR - EARNINGS PER SHR</t>
  </si>
  <si>
    <t>F:CDI(EPS)~U$</t>
  </si>
  <si>
    <t>897E(F:CDI)</t>
  </si>
  <si>
    <t>400E(F:CDI)</t>
  </si>
  <si>
    <t>CHRISTIAN DIOR SE - ACCOUNTS PAYABLE</t>
  </si>
  <si>
    <t>F:CDI(WC03040)~U$</t>
  </si>
  <si>
    <t>CHRISTIAN DIOR SE - AMORTIZATION OF DEFERRED CHARG</t>
  </si>
  <si>
    <t>F:CDI(WC01150)~U$</t>
  </si>
  <si>
    <t>CHRISTIAN DIOR SE - AMORTIZATION OF INTANGIBLES</t>
  </si>
  <si>
    <t>F:CDI(WC01149)~U$</t>
  </si>
  <si>
    <t>CHRISTIAN DIOR SE - BOOK VALUE-OUT SHARES-FISCAL</t>
  </si>
  <si>
    <t>F:CDI(WC05491)~U$</t>
  </si>
  <si>
    <t>CHRISTIAN DIOR SE - BOOK VALUE PER SHARE</t>
  </si>
  <si>
    <t>F:CDI(WC05476)~U$</t>
  </si>
  <si>
    <t>CHRISTIAN DIOR SE - CAPITAL EXPENDITURES</t>
  </si>
  <si>
    <t>F:CDI(WC04601)~U$</t>
  </si>
  <si>
    <t>CHRISTIAN DIOR SE - CASH</t>
  </si>
  <si>
    <t>F:CDI(WC02003)~U$</t>
  </si>
  <si>
    <t>CHRISTIAN DIOR SE - CASH - GENERIC</t>
  </si>
  <si>
    <t>F:CDI(WC02005)~U$</t>
  </si>
  <si>
    <t>CHRISTIAN DIOR SE - CASH &amp; SHORT TERM INVESTMENTS</t>
  </si>
  <si>
    <t>F:CDI(WC02001)~U$</t>
  </si>
  <si>
    <t>CHRISTIAN DIOR SE - CASH DIVIDENDS PAID - TOTAL</t>
  </si>
  <si>
    <t>F:CDI(WC04551)~U$</t>
  </si>
  <si>
    <t>CHRISTIAN DIOR SE - CASH FLOW PER SHARE</t>
  </si>
  <si>
    <t>F:CDI(WC05501)~U$</t>
  </si>
  <si>
    <t>CHRISTIAN DIOR SE - CASH FLOW PER SHARE - FIS YR</t>
  </si>
  <si>
    <t>F:CDI(WC05502)~U$</t>
  </si>
  <si>
    <t>CHRISTIAN DIOR SE - COMMON DIVIDENDS (CASH)</t>
  </si>
  <si>
    <t>F:CDI(WC05376)~U$</t>
  </si>
  <si>
    <t>CHRISTIAN DIOR SE - COMMON SHAREHOLDERS' EQUITY</t>
  </si>
  <si>
    <t>F:CDI(WC03501)~U$</t>
  </si>
  <si>
    <t>CHRISTIAN DIOR SE - COMMON STOCK</t>
  </si>
  <si>
    <t>F:CDI(WC03480)~U$</t>
  </si>
  <si>
    <t>CHRISTIAN DIOR SE - COST OF GOODS SOLD (EXCL DEP)</t>
  </si>
  <si>
    <t>F:CDI(WC01051)~U$</t>
  </si>
  <si>
    <t>CHRISTIAN DIOR SE - CURRENT ASSETS - TOTAL</t>
  </si>
  <si>
    <t>F:CDI(WC02201)~U$</t>
  </si>
  <si>
    <t>CHRISTIAN DIOR SE - CURRENT LIABILITIES-TOTAL</t>
  </si>
  <si>
    <t>F:CDI(WC03101)~U$</t>
  </si>
  <si>
    <t>CHRISTIAN DIOR SE - DEFERRED TAXES</t>
  </si>
  <si>
    <t>F:CDI(WC03263)~U$</t>
  </si>
  <si>
    <t>CHRISTIAN DIOR SE - DEPRECIATION AND DEPLETION</t>
  </si>
  <si>
    <t>F:CDI(WC04049)~U$</t>
  </si>
  <si>
    <t>CHRISTIAN DIOR SE - DEPRECIATION/DEPLETION/AMORT</t>
  </si>
  <si>
    <t>F:CDI(WC01151)~U$</t>
  </si>
  <si>
    <t>CHRISTIAN DIOR SE - DIVIDENDS PER SHARE</t>
  </si>
  <si>
    <t>F:CDI(WC05101)~U$</t>
  </si>
  <si>
    <t>CHRISTIAN DIOR SE - DIVIDENDS PER SHARE - FISCAL</t>
  </si>
  <si>
    <t>F:CDI(WC05110)~U$</t>
  </si>
  <si>
    <t>CHRISTIAN DIOR SE - EARNINGS BEF INTEREST &amp; TAXES</t>
  </si>
  <si>
    <t>F:CDI(WC18191)~U$</t>
  </si>
  <si>
    <t>CHRISTIAN DIOR SE - EBIT &amp; DEPRECIATION</t>
  </si>
  <si>
    <t>F:CDI(WC18198)~U$</t>
  </si>
  <si>
    <t>CHRISTIAN DIOR SE - EARNINGS PER SHARE</t>
  </si>
  <si>
    <t>F:CDI(WC05201)~U$</t>
  </si>
  <si>
    <t>CHRISTIAN DIOR SE - FISCAL EPS-FULLY DILUTED-YR</t>
  </si>
  <si>
    <t>F:CDI(WC10030)~U$</t>
  </si>
  <si>
    <t>CHRISTIAN DIOR SE - ENTERPRISE VALUE</t>
  </si>
  <si>
    <t>F:CDI(WC18100)~U$</t>
  </si>
  <si>
    <t>CHRISTIAN DIOR SE - GROSS INCOME</t>
  </si>
  <si>
    <t>F:CDI(WC01100)~U$</t>
  </si>
  <si>
    <t>CHRISTIAN DIOR SE - INCOME TAXES</t>
  </si>
  <si>
    <t>F:CDI(WC01451)~U$</t>
  </si>
  <si>
    <t>CHRISTIAN DIOR SE - INCREASE/DECREASE IN CASH/SHOR</t>
  </si>
  <si>
    <t>F:CDI(WC04851)~U$</t>
  </si>
  <si>
    <t>CHRISTIAN DIOR SE - INTEREST EXPENSE ON DEBT</t>
  </si>
  <si>
    <t>F:CDI(WC01251)~U$</t>
  </si>
  <si>
    <t>CHRISTIAN DIOR SE - TOTAL INVENTORIES</t>
  </si>
  <si>
    <t>F:CDI(WC02101)~U$</t>
  </si>
  <si>
    <t>CHRISTIAN DIOR SE - LONG TERM DEBT</t>
  </si>
  <si>
    <t>F:CDI(WC03251)~U$</t>
  </si>
  <si>
    <t>CHRISTIAN DIOR SE - MARKET CAPITALIZATION</t>
  </si>
  <si>
    <t>F:CDI(WC08001)~U$</t>
  </si>
  <si>
    <t>CHRISTIAN DIOR SE - NET CASH FLOW - FINANCING</t>
  </si>
  <si>
    <t>F:CDI(WC04890)~U$</t>
  </si>
  <si>
    <t>CHRISTIAN DIOR SE - NET CASH FLOW - INVESTING</t>
  </si>
  <si>
    <t>F:CDI(WC04870)~U$</t>
  </si>
  <si>
    <t>CHRISTIAN DIOR SE - NET CASH FLOW-OPERATING ACTIVS</t>
  </si>
  <si>
    <t>F:CDI(WC04860)~U$</t>
  </si>
  <si>
    <t>CHRISTIAN DIOR SE - NET DEBT</t>
  </si>
  <si>
    <t>F:CDI(WC18199)~U$</t>
  </si>
  <si>
    <t>CHRISTIAN DIOR SE - NET INCOME - DILUTED</t>
  </si>
  <si>
    <t>F:CDI(WC01705)~U$</t>
  </si>
  <si>
    <t>CHRISTIAN DIOR SE - NET SALES OR REVENUES</t>
  </si>
  <si>
    <t>F:CDI(WC01001)~U$</t>
  </si>
  <si>
    <t>CHRISTIAN DIOR SE - NON-OPERATING INTEREST INCOME</t>
  </si>
  <si>
    <t>F:CDI(WC01266)~U$</t>
  </si>
  <si>
    <t>CHRISTIAN DIOR SE - OPERATING EXPENSES - TOTAL</t>
  </si>
  <si>
    <t>F:CDI(WC01249)~U$</t>
  </si>
  <si>
    <t>CHRISTIAN DIOR SE - OPERATING INCOME</t>
  </si>
  <si>
    <t>F:CDI(WC01250)~U$</t>
  </si>
  <si>
    <t>CHRISTIAN DIOR SE - PRETAX INCOME</t>
  </si>
  <si>
    <t>F:CDI(WC01401)~U$</t>
  </si>
  <si>
    <t>CHRISTIAN DIOR SE - PROPERTY, PLANT &amp; EQUIP - NET</t>
  </si>
  <si>
    <t>F:CDI(WC02501)~U$</t>
  </si>
  <si>
    <t>CHRISTIAN DIOR SE - RECEIVABLES(NET)</t>
  </si>
  <si>
    <t>F:CDI(WC02051)~U$</t>
  </si>
  <si>
    <t>CHRISTIAN DIOR SE - RESEARCH &amp; DEVELOPMENT</t>
  </si>
  <si>
    <t>F:CDI(WC01201)~U$</t>
  </si>
  <si>
    <t>CHRISTIAN DIOR SE - SELLING, GENERAL &amp; ADMINISTRAT</t>
  </si>
  <si>
    <t>F:CDI(WC01101)~U$</t>
  </si>
  <si>
    <t>CHRISTIAN DIOR SE - SHORT TERM DEBT &amp; CURRENT PORT</t>
  </si>
  <si>
    <t>F:CDI(WC03051)~U$</t>
  </si>
  <si>
    <t>CHRISTIAN DIOR SE - TOTAL ASSETS</t>
  </si>
  <si>
    <t>F:CDI(WC02999)~U$</t>
  </si>
  <si>
    <t>CHRISTIAN DIOR SE - TOTAL CAPITAL</t>
  </si>
  <si>
    <t>F:CDI(WC03998)~U$</t>
  </si>
  <si>
    <t>CHRISTIAN DIOR SE - TOTAL DEBT</t>
  </si>
  <si>
    <t>F:CDI(WC03255)~U$</t>
  </si>
  <si>
    <t>CHRISTIAN DIOR SE - TOTAL INTANGIBLE OT ASSETS-NET</t>
  </si>
  <si>
    <t>F:CDI(WC02649)~U$</t>
  </si>
  <si>
    <t>CHRISTIAN DIOR SE - TOTAL LIABILITIES</t>
  </si>
  <si>
    <t>F:CDI(WC03351)~U$</t>
  </si>
  <si>
    <t>CHRISTIAN DIOR SE - TOTAL LIABILITIES &amp; SHAREHOLDE</t>
  </si>
  <si>
    <t>F:CDI(WC03999)~U$</t>
  </si>
  <si>
    <t>CHRISTIAN DIOR SE - TOTAL SHAREHOLDERS EQUITY</t>
  </si>
  <si>
    <t>F:CDI(WC03995)~U$</t>
  </si>
  <si>
    <t>CHRISTIAN DIOR SE - WORKING CAPITAL</t>
  </si>
  <si>
    <t>F:CDI(WC03151)~U$</t>
  </si>
  <si>
    <t>CHRISTIAN DIOR - BK VAL PS 12M FWD</t>
  </si>
  <si>
    <t>F:CDI(DIBV)~U$</t>
  </si>
  <si>
    <t>CHRISTIAN DIOR - EV 12M FWD</t>
  </si>
  <si>
    <t>F:CDI(DIEV)~U$</t>
  </si>
  <si>
    <t>CHRISTIAN DIOR - NET INCOME 12M FWD</t>
  </si>
  <si>
    <t>F:CDI(DINI)~U$</t>
  </si>
  <si>
    <t>CHRISTIAN DIOR - PRETAX PRF 12M FWD</t>
  </si>
  <si>
    <t>F:CDI(DINP)~U$</t>
  </si>
  <si>
    <t>CHRISTIAN DIOR - ROE 12M FWD</t>
  </si>
  <si>
    <t>F:CDI(DIRE)~U$</t>
  </si>
  <si>
    <t>CHRISTIAN DIOR - SALES 12M FWD</t>
  </si>
  <si>
    <t>F:CDI(DISL)~U$</t>
  </si>
  <si>
    <t>CHRISTIAN DIOR SE - DECREASE/INCREASE RECEIVABLES</t>
  </si>
  <si>
    <t>F:CDI(WC04825)~U$</t>
  </si>
  <si>
    <t>CHRISTIAN DIOR SE - DECREASE/INCR OTH ASTS/LIABILT</t>
  </si>
  <si>
    <t>F:CDI(WC04830)~U$</t>
  </si>
  <si>
    <t>CHRISTIAN DIOR SE - DECREASE/INCREASE INVENTORIES</t>
  </si>
  <si>
    <t>F:CDI(WC04826)~U$</t>
  </si>
  <si>
    <t>CHRISTIAN DIOR SE - DECREASE IN INVESTMENTS</t>
  </si>
  <si>
    <t>F:CDI(WC04440)~U$</t>
  </si>
  <si>
    <t>PRADA S P 'A' - MARKET VALUE</t>
  </si>
  <si>
    <t>K:PRAD(MV)~U$</t>
  </si>
  <si>
    <t>IT0003874101</t>
  </si>
  <si>
    <t>PRADA S P 'A' - PER</t>
  </si>
  <si>
    <t>K:PRAD(PE)</t>
  </si>
  <si>
    <t>K$</t>
  </si>
  <si>
    <t>PRADA S P 'A' - 12MTH FORWARD EPS</t>
  </si>
  <si>
    <t>K:PRAD(EPS1FD12)~U$</t>
  </si>
  <si>
    <t>PRADA S P 'A'</t>
  </si>
  <si>
    <t>529E(K:PRAD)</t>
  </si>
  <si>
    <t>384E(K:PRAD)</t>
  </si>
  <si>
    <t>380E(K:PRAD)</t>
  </si>
  <si>
    <t>157E(K:PRAD)</t>
  </si>
  <si>
    <t>388E(K:PRAD)</t>
  </si>
  <si>
    <t>334E(K:PRAD)</t>
  </si>
  <si>
    <t>338E(K:PRAD)</t>
  </si>
  <si>
    <t>251E(K:PRAD)</t>
  </si>
  <si>
    <t>250E(K:PRAD)</t>
  </si>
  <si>
    <t>553E(K:PRAD)</t>
  </si>
  <si>
    <t>PRADA S P 'A' - 12MTH TRAILING EPS</t>
  </si>
  <si>
    <t>K:PRAD(EPS1TR12)~U$</t>
  </si>
  <si>
    <t>PRADA S P 'A' - DIV.PER SHR.</t>
  </si>
  <si>
    <t>K:PRAD(DPS)~U$</t>
  </si>
  <si>
    <t>354E(K:PRAD)</t>
  </si>
  <si>
    <t>PRADA S P 'A' - EARNINGS PER SHR</t>
  </si>
  <si>
    <t>K:PRAD(EPS)~U$</t>
  </si>
  <si>
    <t>897E(K:PRAD)</t>
  </si>
  <si>
    <t>400E(K:PRAD)</t>
  </si>
  <si>
    <t>PRADA SPA - ACCOUNTS PAYABLE</t>
  </si>
  <si>
    <t>K:PRAD(WC03040)~U$</t>
  </si>
  <si>
    <t>PRADA SPA - AMORT &amp; IMPAIR OF GOODWILL</t>
  </si>
  <si>
    <t>K:PRAD(WC18224)~U$</t>
  </si>
  <si>
    <t>PRADA SPA - AMORTIZATION OF DEFERRED CHARG</t>
  </si>
  <si>
    <t>K:PRAD(WC01150)~U$</t>
  </si>
  <si>
    <t>PRADA SPA - AMORTIZATION-INTANGIBLE ASSETS</t>
  </si>
  <si>
    <t>K:PRAD(WC04050)~U$</t>
  </si>
  <si>
    <t>PRADA SPA - AMORTIZATION OF INTANGIBLES</t>
  </si>
  <si>
    <t>K:PRAD(WC01149)~U$</t>
  </si>
  <si>
    <t>PRADA SPA - BOOK VALUE-OUT SHARES-FISCAL</t>
  </si>
  <si>
    <t>K:PRAD(WC05491)~U$</t>
  </si>
  <si>
    <t>PRADA SPA - BOOK VALUE PER SHARE</t>
  </si>
  <si>
    <t>K:PRAD(WC05476)~U$</t>
  </si>
  <si>
    <t>PRADA SPA - CAPITAL EXPENDITURES</t>
  </si>
  <si>
    <t>K:PRAD(WC04601)~U$</t>
  </si>
  <si>
    <t>PRADA SPA - CASH</t>
  </si>
  <si>
    <t>K:PRAD(WC02003)~U$</t>
  </si>
  <si>
    <t>PRADA SPA - CASH - GENERIC</t>
  </si>
  <si>
    <t>K:PRAD(WC02005)~U$</t>
  </si>
  <si>
    <t>PRADA SPA - CASH &amp; SHORT TERM INVESTMENTS</t>
  </si>
  <si>
    <t>K:PRAD(WC02001)~U$</t>
  </si>
  <si>
    <t>PRADA SPA - CASH DIVIDENDS PAID - TOTAL</t>
  </si>
  <si>
    <t>K:PRAD(WC04551)~U$</t>
  </si>
  <si>
    <t>PRADA SPA - CASH FLOW PER SHARE</t>
  </si>
  <si>
    <t>K:PRAD(WC05501)~U$</t>
  </si>
  <si>
    <t>PRADA SPA - CASH FLOW PER SHARE - FIS YR</t>
  </si>
  <si>
    <t>K:PRAD(WC05502)~U$</t>
  </si>
  <si>
    <t>PRADA SPA - COMMON DIVIDENDS (CASH)</t>
  </si>
  <si>
    <t>K:PRAD(WC05376)~U$</t>
  </si>
  <si>
    <t>PRADA SPA - COMMON SHAREHOLDERS' EQUITY</t>
  </si>
  <si>
    <t>K:PRAD(WC03501)~U$</t>
  </si>
  <si>
    <t>PRADA SPA - COMMON STOCK</t>
  </si>
  <si>
    <t>K:PRAD(WC03480)~U$</t>
  </si>
  <si>
    <t>PRADA SPA - COST OF GOODS SOLD (EXCL DEP)</t>
  </si>
  <si>
    <t>K:PRAD(WC01051)~U$</t>
  </si>
  <si>
    <t>PRADA SPA - CURRENT ASSETS - TOTAL</t>
  </si>
  <si>
    <t>K:PRAD(WC02201)~U$</t>
  </si>
  <si>
    <t>PRADA SPA - CURRENT LIABILITIES-TOTAL</t>
  </si>
  <si>
    <t>K:PRAD(WC03101)~U$</t>
  </si>
  <si>
    <t>PRADA SPA - DEFERRED TAXES</t>
  </si>
  <si>
    <t>K:PRAD(WC03263)~U$</t>
  </si>
  <si>
    <t>PRADA SPA - DEPRECIATION AND DEPLETION</t>
  </si>
  <si>
    <t>K:PRAD(WC04049)~U$</t>
  </si>
  <si>
    <t>PRADA SPA - DEPRECIATION/DEPLETION/AMORT</t>
  </si>
  <si>
    <t>K:PRAD(WC01151)~U$</t>
  </si>
  <si>
    <t>PRADA SPA - DIVIDENDS PER SHARE</t>
  </si>
  <si>
    <t>K:PRAD(WC05101)~U$</t>
  </si>
  <si>
    <t>PRADA SPA - DIVIDENDS PER SHARE - FISCAL</t>
  </si>
  <si>
    <t>K:PRAD(WC05110)~U$</t>
  </si>
  <si>
    <t>PRADA SPA - EARNINGS BEF INTEREST &amp; TAXES</t>
  </si>
  <si>
    <t>K:PRAD(WC18191)~U$</t>
  </si>
  <si>
    <t>PRADA SPA - EBIT &amp; DEPRECIATION</t>
  </si>
  <si>
    <t>K:PRAD(WC18198)~U$</t>
  </si>
  <si>
    <t>PRADA SPA - EARNINGS PER SHARE</t>
  </si>
  <si>
    <t>K:PRAD(WC05201)~U$</t>
  </si>
  <si>
    <t>PRADA SPA - FISCAL EPS-FULLY DILUTED-YR</t>
  </si>
  <si>
    <t>K:PRAD(WC10030)~U$</t>
  </si>
  <si>
    <t>PRADA SPA - ENTERPRISE VALUE</t>
  </si>
  <si>
    <t>K:PRAD(WC18100)~U$</t>
  </si>
  <si>
    <t>PRADA SPA - GROSS INCOME</t>
  </si>
  <si>
    <t>K:PRAD(WC01100)~U$</t>
  </si>
  <si>
    <t>PRADA SPA - IMPAIRMENT OF GOODWILL</t>
  </si>
  <si>
    <t>K:PRAD(WC18225)~U$</t>
  </si>
  <si>
    <t>PRADA SPA - IMPAIRMENT- OTHER INTANGIBLES</t>
  </si>
  <si>
    <t>K:PRAD(WC18226)~U$</t>
  </si>
  <si>
    <t>PRADA SPA - INCOME TAXES</t>
  </si>
  <si>
    <t>K:PRAD(WC01451)~U$</t>
  </si>
  <si>
    <t>PRADA SPA - INCREASE/DECREASE IN CASH/SHOR</t>
  </si>
  <si>
    <t>K:PRAD(WC04851)~U$</t>
  </si>
  <si>
    <t>PRADA SPA - INTEREST EXPENSE ON DEBT</t>
  </si>
  <si>
    <t>K:PRAD(WC01251)~U$</t>
  </si>
  <si>
    <t>PRADA SPA - TOTAL INVENTORIES</t>
  </si>
  <si>
    <t>K:PRAD(WC02101)~U$</t>
  </si>
  <si>
    <t>PRADA SPA - LONG TERM DEBT</t>
  </si>
  <si>
    <t>K:PRAD(WC03251)~U$</t>
  </si>
  <si>
    <t>PRADA SPA - MARKET CAPITALIZATION</t>
  </si>
  <si>
    <t>K:PRAD(WC08001)~U$</t>
  </si>
  <si>
    <t>PRADA SPA - NET CASH FLOW - FINANCING</t>
  </si>
  <si>
    <t>K:PRAD(WC04890)~U$</t>
  </si>
  <si>
    <t>PRADA SPA - NET CASH FLOW - INVESTING</t>
  </si>
  <si>
    <t>K:PRAD(WC04870)~U$</t>
  </si>
  <si>
    <t>PRADA SPA - NET CASH FLOW-OPERATING ACTIVS</t>
  </si>
  <si>
    <t>K:PRAD(WC04860)~U$</t>
  </si>
  <si>
    <t>PRADA SPA - NET DEBT</t>
  </si>
  <si>
    <t>K:PRAD(WC18199)~U$</t>
  </si>
  <si>
    <t>PRADA SPA - NET INCOME - DILUTED</t>
  </si>
  <si>
    <t>K:PRAD(WC01705)~U$</t>
  </si>
  <si>
    <t>PRADA SPA - NET SALES OR REVENUES</t>
  </si>
  <si>
    <t>K:PRAD(WC01001)~U$</t>
  </si>
  <si>
    <t>PRADA SPA - NON-OPERATING INTEREST INCOME</t>
  </si>
  <si>
    <t>K:PRAD(WC01266)~U$</t>
  </si>
  <si>
    <t>PRADA SPA - OPERATING EXPENSES - TOTAL</t>
  </si>
  <si>
    <t>K:PRAD(WC01249)~U$</t>
  </si>
  <si>
    <t>PRADA SPA - OPERATING INCOME</t>
  </si>
  <si>
    <t>K:PRAD(WC01250)~U$</t>
  </si>
  <si>
    <t>PRADA SPA - PRETAX INCOME</t>
  </si>
  <si>
    <t>K:PRAD(WC01401)~U$</t>
  </si>
  <si>
    <t>PRADA SPA - PROPERTY, PLANT &amp; EQUIP - NET</t>
  </si>
  <si>
    <t>K:PRAD(WC02501)~U$</t>
  </si>
  <si>
    <t>PRADA SPA - RECEIVABLES(NET)</t>
  </si>
  <si>
    <t>K:PRAD(WC02051)~U$</t>
  </si>
  <si>
    <t>PRADA SPA - RESEARCH &amp; DEVELOPMENT</t>
  </si>
  <si>
    <t>K:PRAD(WC01201)~U$</t>
  </si>
  <si>
    <t>PRADA SPA - SELLING, GENERAL &amp; ADMINISTRAT</t>
  </si>
  <si>
    <t>K:PRAD(WC01101)~U$</t>
  </si>
  <si>
    <t>PRADA SPA - SHORT TERM DEBT &amp; CURRENT PORT</t>
  </si>
  <si>
    <t>K:PRAD(WC03051)~U$</t>
  </si>
  <si>
    <t>PRADA SPA - TOTAL ASSETS</t>
  </si>
  <si>
    <t>K:PRAD(WC02999)~U$</t>
  </si>
  <si>
    <t>PRADA SPA - TOTAL CAPITAL</t>
  </si>
  <si>
    <t>K:PRAD(WC03998)~U$</t>
  </si>
  <si>
    <t>PRADA SPA - TOTAL DEBT</t>
  </si>
  <si>
    <t>K:PRAD(WC03255)~U$</t>
  </si>
  <si>
    <t>PRADA SPA - TOTAL INTANGIBLE OT ASSETS-NET</t>
  </si>
  <si>
    <t>K:PRAD(WC02649)~U$</t>
  </si>
  <si>
    <t>PRADA SPA - TOTAL LIABILITIES</t>
  </si>
  <si>
    <t>K:PRAD(WC03351)~U$</t>
  </si>
  <si>
    <t>PRADA SPA - TOTAL LIABILITIES &amp; SHAREHOLDE</t>
  </si>
  <si>
    <t>K:PRAD(WC03999)~U$</t>
  </si>
  <si>
    <t>PRADA SPA - TOTAL SHAREHOLDERS EQUITY</t>
  </si>
  <si>
    <t>K:PRAD(WC03995)~U$</t>
  </si>
  <si>
    <t>PRADA SPA - WORKING CAPITAL</t>
  </si>
  <si>
    <t>K:PRAD(WC03151)~U$</t>
  </si>
  <si>
    <t>PRADA S P 'A' - BK VAL PS 12M FWD</t>
  </si>
  <si>
    <t>K:PRAD(DIBV)~U$</t>
  </si>
  <si>
    <t>PRADA S P 'A' - EV 12M FWD</t>
  </si>
  <si>
    <t>K:PRAD(DIEV)~U$</t>
  </si>
  <si>
    <t>PRADA S P 'A' - NET INCOME 12M FWD</t>
  </si>
  <si>
    <t>K:PRAD(DINI)~U$</t>
  </si>
  <si>
    <t>PRADA S P 'A' - PRETAX PRF 12M FWD</t>
  </si>
  <si>
    <t>K:PRAD(DINP)~U$</t>
  </si>
  <si>
    <t>PRADA S P 'A' - ROE 12M FWD</t>
  </si>
  <si>
    <t>K:PRAD(DIRE)~U$</t>
  </si>
  <si>
    <t>PRADA S P 'A' - SALES 12M FWD</t>
  </si>
  <si>
    <t>K:PRAD(DISL)~U$</t>
  </si>
  <si>
    <t>PRADA SPA - CHANGE IN INVENTORY</t>
  </si>
  <si>
    <t>K:PRAD(WC18196)~U$</t>
  </si>
  <si>
    <t>PRADA SPA - DECREASE/INCREASE RECEIVABLES</t>
  </si>
  <si>
    <t>K:PRAD(WC04825)~U$</t>
  </si>
  <si>
    <t>PRADA SPA - DECREASE/INCR OTH ASTS/LIABILT</t>
  </si>
  <si>
    <t>K:PRAD(WC04830)~U$</t>
  </si>
  <si>
    <t>PRADA SPA - DECREASE/INCREASE INVENTORIES</t>
  </si>
  <si>
    <t>K:PRAD(WC04826)~U$</t>
  </si>
  <si>
    <t>PRADA SPA - DECREASE IN INVESTMENTS</t>
  </si>
  <si>
    <t>K:PRAD(WC04440)~U$</t>
  </si>
  <si>
    <t>TJX - MARKET VALUE</t>
  </si>
  <si>
    <t>U:TJX(MV)~U$</t>
  </si>
  <si>
    <t>US8725401090</t>
  </si>
  <si>
    <t>TJX - PER</t>
  </si>
  <si>
    <t>U:TJX(PE)</t>
  </si>
  <si>
    <t>TJX - 12MTH FORWARD EPS</t>
  </si>
  <si>
    <t>U:TJX(EPS1FD12)~U$</t>
  </si>
  <si>
    <t>TJX</t>
  </si>
  <si>
    <t>529E(U:TJX)</t>
  </si>
  <si>
    <t>384E(U:TJX)</t>
  </si>
  <si>
    <t>380E(U:TJX)</t>
  </si>
  <si>
    <t>157E(U:TJX)</t>
  </si>
  <si>
    <t>388E(U:TJX)</t>
  </si>
  <si>
    <t>334E(U:TJX)</t>
  </si>
  <si>
    <t>338E(U:TJX)</t>
  </si>
  <si>
    <t>251E(U:TJX)</t>
  </si>
  <si>
    <t>250E(U:TJX)</t>
  </si>
  <si>
    <t>553E(U:TJX)</t>
  </si>
  <si>
    <t>TJX - 12MTH TRAILING EPS</t>
  </si>
  <si>
    <t>U:TJX(EPS1TR12)~U$</t>
  </si>
  <si>
    <t>TJX - DIV.PER SHR.</t>
  </si>
  <si>
    <t>U:TJX(DPS)~U$</t>
  </si>
  <si>
    <t>354E(U:TJX)</t>
  </si>
  <si>
    <t>TJX - EARNINGS PER SHR</t>
  </si>
  <si>
    <t>U:TJX(EPS)~U$</t>
  </si>
  <si>
    <t>897E(U:TJX)</t>
  </si>
  <si>
    <t>400E(U:TJX)</t>
  </si>
  <si>
    <t>TJX COMPANIES INC - ACCOUNTS PAYABLE</t>
  </si>
  <si>
    <t>U:TJX(WC03040)~U$</t>
  </si>
  <si>
    <t>TJX COMPANIES INC - AMORT &amp; IMPAIR OF GOODWILL</t>
  </si>
  <si>
    <t>U:TJX(WC18224)~U$</t>
  </si>
  <si>
    <t>TJX COMPANIES INC - BOOK VALUE-OUT SHARES-FISCAL</t>
  </si>
  <si>
    <t>U:TJX(WC05491)~U$</t>
  </si>
  <si>
    <t>TJX COMPANIES INC - BOOK VALUE PER SHARE</t>
  </si>
  <si>
    <t>U:TJX(WC05476)~U$</t>
  </si>
  <si>
    <t>TJX COMPANIES INC - CAPITAL EXPENDITURES</t>
  </si>
  <si>
    <t>U:TJX(WC04601)~U$</t>
  </si>
  <si>
    <t>TJX COMPANIES INC - CASH</t>
  </si>
  <si>
    <t>U:TJX(WC02003)~U$</t>
  </si>
  <si>
    <t>TJX COMPANIES INC - CASH - GENERIC</t>
  </si>
  <si>
    <t>U:TJX(WC02005)~U$</t>
  </si>
  <si>
    <t>TJX COMPANIES INC - CASH &amp; SHORT TERM INVESTMENTS</t>
  </si>
  <si>
    <t>U:TJX(WC02001)~U$</t>
  </si>
  <si>
    <t>TJX COMPANIES INC - CASH DIVIDENDS PAID - TOTAL</t>
  </si>
  <si>
    <t>U:TJX(WC04551)~U$</t>
  </si>
  <si>
    <t>TJX COMPANIES INC - CASH FLOW PER SHARE</t>
  </si>
  <si>
    <t>U:TJX(WC05501)~U$</t>
  </si>
  <si>
    <t>TJX COMPANIES INC - CASH FLOW PER SHARE - FIS YR</t>
  </si>
  <si>
    <t>U:TJX(WC05502)~U$</t>
  </si>
  <si>
    <t>TJX COMPANIES INC - COMMON DIVIDENDS (CASH)</t>
  </si>
  <si>
    <t>U:TJX(WC05376)~U$</t>
  </si>
  <si>
    <t>TJX COMPANIES INC - COMMON SHAREHOLDERS' EQUITY</t>
  </si>
  <si>
    <t>U:TJX(WC03501)~U$</t>
  </si>
  <si>
    <t>TJX COMPANIES INC - COMMON STOCK</t>
  </si>
  <si>
    <t>U:TJX(WC03480)~U$</t>
  </si>
  <si>
    <t>TJX COMPANIES INC - COST OF GOODS SOLD (EXCL DEP)</t>
  </si>
  <si>
    <t>U:TJX(WC01051)~U$</t>
  </si>
  <si>
    <t>TJX COMPANIES INC - CURRENT ASSETS - TOTAL</t>
  </si>
  <si>
    <t>U:TJX(WC02201)~U$</t>
  </si>
  <si>
    <t>TJX COMPANIES INC - CURRENT LIABILITIES-TOTAL</t>
  </si>
  <si>
    <t>U:TJX(WC03101)~U$</t>
  </si>
  <si>
    <t>TJX COMPANIES INC - DEFERRED TAXES</t>
  </si>
  <si>
    <t>U:TJX(WC03263)~U$</t>
  </si>
  <si>
    <t>TJX COMPANIES INC - DEPRECIATION AND DEPLETION</t>
  </si>
  <si>
    <t>U:TJX(WC04049)~U$</t>
  </si>
  <si>
    <t>TJX COMPANIES INC - DEPRECIATION/DEPLETION/AMORT</t>
  </si>
  <si>
    <t>U:TJX(WC01151)~U$</t>
  </si>
  <si>
    <t>TJX COMPANIES INC - DIVIDENDS PER SHARE</t>
  </si>
  <si>
    <t>U:TJX(WC05101)~U$</t>
  </si>
  <si>
    <t>TJX COMPANIES INC - DIVIDENDS PER SHARE - FISCAL</t>
  </si>
  <si>
    <t>U:TJX(WC05110)~U$</t>
  </si>
  <si>
    <t>TJX COMPANIES INC - EARNINGS BEF INTEREST &amp; TAXES</t>
  </si>
  <si>
    <t>U:TJX(WC18191)~U$</t>
  </si>
  <si>
    <t>TJX COMPANIES INC - EBIT &amp; DEPRECIATION</t>
  </si>
  <si>
    <t>U:TJX(WC18198)~U$</t>
  </si>
  <si>
    <t>TJX COMPANIES INC - EARNINGS PER SHARE</t>
  </si>
  <si>
    <t>U:TJX(WC05201)~U$</t>
  </si>
  <si>
    <t>TJX COMPANIES INC - FISCAL EPS-FULLY DILUTED-YR</t>
  </si>
  <si>
    <t>U:TJX(WC10030)~U$</t>
  </si>
  <si>
    <t>TJX COMPANIES INC - ENTERPRISE VALUE</t>
  </si>
  <si>
    <t>U:TJX(WC18100)~U$</t>
  </si>
  <si>
    <t>TJX COMPANIES INC - GROSS INCOME</t>
  </si>
  <si>
    <t>U:TJX(WC01100)~U$</t>
  </si>
  <si>
    <t>TJX COMPANIES INC - IMPAIRMENT OF GOODWILL</t>
  </si>
  <si>
    <t>U:TJX(WC18225)~U$</t>
  </si>
  <si>
    <t>TJX COMPANIES INC - INCOME TAXES</t>
  </si>
  <si>
    <t>U:TJX(WC01451)~U$</t>
  </si>
  <si>
    <t>TJX COMPANIES INC - INCREASE/DECREASE IN CASH/SHOR</t>
  </si>
  <si>
    <t>U:TJX(WC04851)~U$</t>
  </si>
  <si>
    <t>TJX COMPANIES INC - INTEREST EXPENSE ON DEBT</t>
  </si>
  <si>
    <t>U:TJX(WC01251)~U$</t>
  </si>
  <si>
    <t>TJX COMPANIES INC - TOTAL INVENTORIES</t>
  </si>
  <si>
    <t>U:TJX(WC02101)~U$</t>
  </si>
  <si>
    <t>TJX COMPANIES INC - LONG TERM DEBT</t>
  </si>
  <si>
    <t>U:TJX(WC03251)~U$</t>
  </si>
  <si>
    <t>TJX COMPANIES INC - MARKET CAPITALIZATION</t>
  </si>
  <si>
    <t>U:TJX(WC08001)~U$</t>
  </si>
  <si>
    <t>TJX COMPANIES INC - NET CASH FLOW - FINANCING</t>
  </si>
  <si>
    <t>U:TJX(WC04890)~U$</t>
  </si>
  <si>
    <t>TJX COMPANIES INC - NET CASH FLOW - INVESTING</t>
  </si>
  <si>
    <t>U:TJX(WC04870)~U$</t>
  </si>
  <si>
    <t>TJX COMPANIES INC - NET CASH FLOW-OPERATING ACTIVS</t>
  </si>
  <si>
    <t>U:TJX(WC04860)~U$</t>
  </si>
  <si>
    <t>TJX COMPANIES INC - NET DEBT</t>
  </si>
  <si>
    <t>U:TJX(WC18199)~U$</t>
  </si>
  <si>
    <t>TJX COMPANIES INC - NET INCOME - DILUTED</t>
  </si>
  <si>
    <t>U:TJX(WC01705)~U$</t>
  </si>
  <si>
    <t>TJX COMPANIES INC - NET SALES OR REVENUES</t>
  </si>
  <si>
    <t>U:TJX(WC01001)~U$</t>
  </si>
  <si>
    <t>TJX COMPANIES INC - NON-OPERATING INTEREST INCOME</t>
  </si>
  <si>
    <t>U:TJX(WC01266)~U$</t>
  </si>
  <si>
    <t>TJX COMPANIES INC - OPERATING EXPENSES - TOTAL</t>
  </si>
  <si>
    <t>U:TJX(WC01249)~U$</t>
  </si>
  <si>
    <t>TJX COMPANIES INC - OPERATING INCOME</t>
  </si>
  <si>
    <t>U:TJX(WC01250)~U$</t>
  </si>
  <si>
    <t>TJX COMPANIES INC - PRETAX INCOME</t>
  </si>
  <si>
    <t>U:TJX(WC01401)~U$</t>
  </si>
  <si>
    <t>TJX COMPANIES INC - PROPERTY, PLANT &amp; EQUIP - NET</t>
  </si>
  <si>
    <t>U:TJX(WC02501)~U$</t>
  </si>
  <si>
    <t>TJX COMPANIES INC - RECEIVABLES(NET)</t>
  </si>
  <si>
    <t>U:TJX(WC02051)~U$</t>
  </si>
  <si>
    <t>TJX COMPANIES INC - SELLING, GENERAL &amp; ADMINISTRAT</t>
  </si>
  <si>
    <t>U:TJX(WC01101)~U$</t>
  </si>
  <si>
    <t>TJX COMPANIES INC - SHORT TERM DEBT &amp; CURRENT PORT</t>
  </si>
  <si>
    <t>U:TJX(WC03051)~U$</t>
  </si>
  <si>
    <t>TJX COMPANIES INC - TOTAL ASSETS</t>
  </si>
  <si>
    <t>U:TJX(WC02999)~U$</t>
  </si>
  <si>
    <t>TJX COMPANIES INC - TOTAL CAPITAL</t>
  </si>
  <si>
    <t>U:TJX(WC03998)~U$</t>
  </si>
  <si>
    <t>TJX COMPANIES INC - TOTAL DEBT</t>
  </si>
  <si>
    <t>U:TJX(WC03255)~U$</t>
  </si>
  <si>
    <t>TJX COMPANIES INC - TOTAL INTANGIBLE OT ASSETS-NET</t>
  </si>
  <si>
    <t>U:TJX(WC02649)~U$</t>
  </si>
  <si>
    <t>TJX COMPANIES INC - TOTAL LIABILITIES</t>
  </si>
  <si>
    <t>U:TJX(WC03351)~U$</t>
  </si>
  <si>
    <t>TJX COMPANIES INC - TOTAL LIABILITIES &amp; SHAREHOLDE</t>
  </si>
  <si>
    <t>U:TJX(WC03999)~U$</t>
  </si>
  <si>
    <t>TJX COMPANIES INC - TOTAL SHAREHOLDERS EQUITY</t>
  </si>
  <si>
    <t>U:TJX(WC03995)~U$</t>
  </si>
  <si>
    <t>TJX COMPANIES INC - WORKING CAPITAL</t>
  </si>
  <si>
    <t>U:TJX(WC03151)~U$</t>
  </si>
  <si>
    <t>TJX - BK VAL PS 12M FWD</t>
  </si>
  <si>
    <t>U:TJX(DIBV)~U$</t>
  </si>
  <si>
    <t>TJX - EV 12M FWD</t>
  </si>
  <si>
    <t>U:TJX(DIEV)~U$</t>
  </si>
  <si>
    <t>TJX - NET INCOME 12M FWD</t>
  </si>
  <si>
    <t>U:TJX(DINI)~U$</t>
  </si>
  <si>
    <t>TJX - PRETAX PRF 12M FWD</t>
  </si>
  <si>
    <t>U:TJX(DINP)~U$</t>
  </si>
  <si>
    <t>TJX - ROE 12M FWD</t>
  </si>
  <si>
    <t>U:TJX(DIRE)~U$</t>
  </si>
  <si>
    <t>TJX - SALES 12M FWD</t>
  </si>
  <si>
    <t>U:TJX(DISL)~U$</t>
  </si>
  <si>
    <t>TJX COMPANIES INC - DECREASE/INCREASE RECEIVABLES</t>
  </si>
  <si>
    <t>U:TJX(WC04825)~U$</t>
  </si>
  <si>
    <t>TJX COMPANIES INC - DECREASE/INCR OTH ASTS/LIABILT</t>
  </si>
  <si>
    <t>U:TJX(WC04830)~U$</t>
  </si>
  <si>
    <t>TJX COMPANIES INC - DECREASE/INCREASE INVENTORIES</t>
  </si>
  <si>
    <t>U:TJX(WC04826)~U$</t>
  </si>
  <si>
    <t>TJX COMPANIES INC - DECREASE IN INVESTMENTS</t>
  </si>
  <si>
    <t>U:TJX(WC04440)~U$</t>
  </si>
  <si>
    <t>GAP - MARKET VALUE</t>
  </si>
  <si>
    <t>U:GAP(MV)~U$</t>
  </si>
  <si>
    <t>US3647601083</t>
  </si>
  <si>
    <t>GAP - PER</t>
  </si>
  <si>
    <t>U:GAP(PE)</t>
  </si>
  <si>
    <t>GAP - 12MTH FORWARD EPS</t>
  </si>
  <si>
    <t>U:GAP(EPS1FD12)~U$</t>
  </si>
  <si>
    <t>GAP</t>
  </si>
  <si>
    <t>529E(U:GAP)</t>
  </si>
  <si>
    <t>384E(U:GAP)</t>
  </si>
  <si>
    <t>380E(U:GAP)</t>
  </si>
  <si>
    <t>157E(U:GAP)</t>
  </si>
  <si>
    <t>388E(U:GAP)</t>
  </si>
  <si>
    <t>334E(U:GAP)</t>
  </si>
  <si>
    <t>338E(U:GAP)</t>
  </si>
  <si>
    <t>251E(U:GAP)</t>
  </si>
  <si>
    <t>250E(U:GAP)</t>
  </si>
  <si>
    <t>553E(U:GAP)</t>
  </si>
  <si>
    <t>GAP - 12MTH TRAILING EPS</t>
  </si>
  <si>
    <t>U:GAP(EPS1TR12)~U$</t>
  </si>
  <si>
    <t>GAP - DIV.PER SHR.</t>
  </si>
  <si>
    <t>U:GAP(DPS)~U$</t>
  </si>
  <si>
    <t>354E(U:GAP)</t>
  </si>
  <si>
    <t>GAP - EARNINGS PER SHR</t>
  </si>
  <si>
    <t>U:GAP(EPS)~U$</t>
  </si>
  <si>
    <t>897E(U:GAP)</t>
  </si>
  <si>
    <t>400E(U:GAP)</t>
  </si>
  <si>
    <t>GAP INC - ACCOUNTS PAYABLE</t>
  </si>
  <si>
    <t>U:GAP(WC03040)~U$</t>
  </si>
  <si>
    <t>GAP INC - AMORTIZATION-INTANGIBLE ASSETS</t>
  </si>
  <si>
    <t>U:GAP(WC04050)~U$</t>
  </si>
  <si>
    <t>GAP INC - AMORTIZATION OF INTANGIBLES</t>
  </si>
  <si>
    <t>U:GAP(WC01149)~U$</t>
  </si>
  <si>
    <t>GAP INC - BOOK VALUE-OUT SHARES-FISCAL</t>
  </si>
  <si>
    <t>U:GAP(WC05491)~U$</t>
  </si>
  <si>
    <t>GAP INC - BOOK VALUE PER SHARE</t>
  </si>
  <si>
    <t>U:GAP(WC05476)~U$</t>
  </si>
  <si>
    <t>GAP INC - CAPITAL EXPENDITURES</t>
  </si>
  <si>
    <t>U:GAP(WC04601)~U$</t>
  </si>
  <si>
    <t>GAP INC - CASH</t>
  </si>
  <si>
    <t>U:GAP(WC02003)~U$</t>
  </si>
  <si>
    <t>GAP INC - CASH - GENERIC</t>
  </si>
  <si>
    <t>U:GAP(WC02005)~U$</t>
  </si>
  <si>
    <t>GAP INC - CASH &amp; SHORT TERM INVESTMENTS</t>
  </si>
  <si>
    <t>U:GAP(WC02001)~U$</t>
  </si>
  <si>
    <t>GAP INC - CASH DIVIDENDS PAID - TOTAL</t>
  </si>
  <si>
    <t>U:GAP(WC04551)~U$</t>
  </si>
  <si>
    <t>GAP INC - CASH FLOW PER SHARE</t>
  </si>
  <si>
    <t>U:GAP(WC05501)~U$</t>
  </si>
  <si>
    <t>GAP INC - CASH FLOW PER SHARE - FIS YR</t>
  </si>
  <si>
    <t>U:GAP(WC05502)~U$</t>
  </si>
  <si>
    <t>GAP INC - COMMON DIVIDENDS (CASH)</t>
  </si>
  <si>
    <t>U:GAP(WC05376)~U$</t>
  </si>
  <si>
    <t>GAP INC - COMMON SHAREHOLDERS' EQUITY</t>
  </si>
  <si>
    <t>U:GAP(WC03501)~U$</t>
  </si>
  <si>
    <t>GAP INC - COMMON STOCK</t>
  </si>
  <si>
    <t>U:GAP(WC03480)~U$</t>
  </si>
  <si>
    <t>GAP INC - COST OF GOODS SOLD (EXCL DEP)</t>
  </si>
  <si>
    <t>U:GAP(WC01051)~U$</t>
  </si>
  <si>
    <t>GAP INC - CURRENT ASSETS - TOTAL</t>
  </si>
  <si>
    <t>U:GAP(WC02201)~U$</t>
  </si>
  <si>
    <t>GAP INC - CURRENT LIABILITIES-TOTAL</t>
  </si>
  <si>
    <t>U:GAP(WC03101)~U$</t>
  </si>
  <si>
    <t>GAP INC - DEPRECIATION AND DEPLETION</t>
  </si>
  <si>
    <t>U:GAP(WC04049)~U$</t>
  </si>
  <si>
    <t>GAP INC - DEPRECIATION/DEPLETION/AMORT</t>
  </si>
  <si>
    <t>U:GAP(WC01151)~U$</t>
  </si>
  <si>
    <t>GAP INC - DIVIDENDS PER SHARE</t>
  </si>
  <si>
    <t>U:GAP(WC05101)~U$</t>
  </si>
  <si>
    <t>GAP INC - DIVIDENDS PER SHARE - FISCAL</t>
  </si>
  <si>
    <t>U:GAP(WC05110)~U$</t>
  </si>
  <si>
    <t>GAP INC - EARNINGS BEF INTEREST &amp; TAXES</t>
  </si>
  <si>
    <t>U:GAP(WC18191)~U$</t>
  </si>
  <si>
    <t>GAP INC - EBIT &amp; DEPRECIATION</t>
  </si>
  <si>
    <t>U:GAP(WC18198)~U$</t>
  </si>
  <si>
    <t>GAP INC - EARNINGS PER SHARE</t>
  </si>
  <si>
    <t>U:GAP(WC05201)~U$</t>
  </si>
  <si>
    <t>GAP INC - FISCAL EPS-FULLY DILUTED-YR</t>
  </si>
  <si>
    <t>U:GAP(WC10030)~U$</t>
  </si>
  <si>
    <t>GAP INC - ENTERPRISE VALUE</t>
  </si>
  <si>
    <t>U:GAP(WC18100)~U$</t>
  </si>
  <si>
    <t>GAP INC - GROSS INCOME</t>
  </si>
  <si>
    <t>U:GAP(WC01100)~U$</t>
  </si>
  <si>
    <t>GAP INC - IMPAIRMENT- OTHER INTANGIBLES</t>
  </si>
  <si>
    <t>U:GAP(WC18226)~U$</t>
  </si>
  <si>
    <t>GAP INC - INCOME TAXES</t>
  </si>
  <si>
    <t>U:GAP(WC01451)~U$</t>
  </si>
  <si>
    <t>GAP INC - INCREASE/DECREASE IN CASH/SHOR</t>
  </si>
  <si>
    <t>U:GAP(WC04851)~U$</t>
  </si>
  <si>
    <t>GAP INC - INTEREST EXPENSE ON DEBT</t>
  </si>
  <si>
    <t>U:GAP(WC01251)~U$</t>
  </si>
  <si>
    <t>GAP INC - TOTAL INVENTORIES</t>
  </si>
  <si>
    <t>U:GAP(WC02101)~U$</t>
  </si>
  <si>
    <t>GAP INC - LONG TERM DEBT</t>
  </si>
  <si>
    <t>U:GAP(WC03251)~U$</t>
  </si>
  <si>
    <t>GAP INC - MARKET CAPITALIZATION</t>
  </si>
  <si>
    <t>U:GAP(WC08001)~U$</t>
  </si>
  <si>
    <t>GAP INC - NET CASH FLOW - FINANCING</t>
  </si>
  <si>
    <t>U:GAP(WC04890)~U$</t>
  </si>
  <si>
    <t>GAP INC - NET CASH FLOW - INVESTING</t>
  </si>
  <si>
    <t>U:GAP(WC04870)~U$</t>
  </si>
  <si>
    <t>GAP INC - NET CASH FLOW-OPERATING ACTIVS</t>
  </si>
  <si>
    <t>U:GAP(WC04860)~U$</t>
  </si>
  <si>
    <t>GAP INC - NET DEBT</t>
  </si>
  <si>
    <t>U:GAP(WC18199)~U$</t>
  </si>
  <si>
    <t>GAP INC - NET INCOME - DILUTED</t>
  </si>
  <si>
    <t>U:GAP(WC01705)~U$</t>
  </si>
  <si>
    <t>GAP INC - NET SALES OR REVENUES</t>
  </si>
  <si>
    <t>U:GAP(WC01001)~U$</t>
  </si>
  <si>
    <t>GAP INC - NON-OPERATING INTEREST INCOME</t>
  </si>
  <si>
    <t>U:GAP(WC01266)~U$</t>
  </si>
  <si>
    <t>GAP INC - OPERATING EXPENSES - TOTAL</t>
  </si>
  <si>
    <t>U:GAP(WC01249)~U$</t>
  </si>
  <si>
    <t>GAP INC - OPERATING INCOME</t>
  </si>
  <si>
    <t>U:GAP(WC01250)~U$</t>
  </si>
  <si>
    <t>GAP INC - PRETAX INCOME</t>
  </si>
  <si>
    <t>U:GAP(WC01401)~U$</t>
  </si>
  <si>
    <t>GAP INC - PROPERTY, PLANT &amp; EQUIP - NET</t>
  </si>
  <si>
    <t>U:GAP(WC02501)~U$</t>
  </si>
  <si>
    <t>GAP INC - RECEIVABLES(NET)</t>
  </si>
  <si>
    <t>U:GAP(WC02051)~U$</t>
  </si>
  <si>
    <t>GAP INC - RESEARCH &amp; DEVELOPMENT</t>
  </si>
  <si>
    <t>U:GAP(WC01201)~U$</t>
  </si>
  <si>
    <t>GAP INC - SELLING, GENERAL &amp; ADMINISTRAT</t>
  </si>
  <si>
    <t>U:GAP(WC01101)~U$</t>
  </si>
  <si>
    <t>GAP INC - SHORT TERM DEBT &amp; CURRENT PORT</t>
  </si>
  <si>
    <t>U:GAP(WC03051)~U$</t>
  </si>
  <si>
    <t>GAP INC - TOTAL ASSETS</t>
  </si>
  <si>
    <t>U:GAP(WC02999)~U$</t>
  </si>
  <si>
    <t>GAP INC - TOTAL CAPITAL</t>
  </si>
  <si>
    <t>U:GAP(WC03998)~U$</t>
  </si>
  <si>
    <t>GAP INC - TOTAL DEBT</t>
  </si>
  <si>
    <t>U:GAP(WC03255)~U$</t>
  </si>
  <si>
    <t>GAP INC - TOTAL INTANGIBLE OT ASSETS-NET</t>
  </si>
  <si>
    <t>U:GAP(WC02649)~U$</t>
  </si>
  <si>
    <t>GAP INC - TOTAL LIABILITIES</t>
  </si>
  <si>
    <t>U:GAP(WC03351)~U$</t>
  </si>
  <si>
    <t>GAP INC - TOTAL LIABILITIES &amp; SHAREHOLDE</t>
  </si>
  <si>
    <t>U:GAP(WC03999)~U$</t>
  </si>
  <si>
    <t>GAP INC - TOTAL SHAREHOLDERS EQUITY</t>
  </si>
  <si>
    <t>U:GAP(WC03995)~U$</t>
  </si>
  <si>
    <t>GAP INC - WORKING CAPITAL</t>
  </si>
  <si>
    <t>U:GAP(WC03151)~U$</t>
  </si>
  <si>
    <t>GAP - BK VAL PS 12M FWD</t>
  </si>
  <si>
    <t>U:GAP(DIBV)~U$</t>
  </si>
  <si>
    <t>GAP - EV 12M FWD</t>
  </si>
  <si>
    <t>U:GAP(DIEV)~U$</t>
  </si>
  <si>
    <t>GAP - NET INCOME 12M FWD</t>
  </si>
  <si>
    <t>U:GAP(DINI)~U$</t>
  </si>
  <si>
    <t>GAP - PRETAX PRF 12M FWD</t>
  </si>
  <si>
    <t>U:GAP(DINP)~U$</t>
  </si>
  <si>
    <t>GAP - ROE 12M FWD</t>
  </si>
  <si>
    <t>U:GAP(DIRE)~U$</t>
  </si>
  <si>
    <t>GAP - SALES 12M FWD</t>
  </si>
  <si>
    <t>U:GAP(DISL)~U$</t>
  </si>
  <si>
    <t>GAP INC - DECREASE/INCR OTH ASTS/LIABILT</t>
  </si>
  <si>
    <t>U:GAP(WC04830)~U$</t>
  </si>
  <si>
    <t>GAP INC - DECREASE/INCREASE INVENTORIES</t>
  </si>
  <si>
    <t>U:GAP(WC04826)~U$</t>
  </si>
  <si>
    <t>GAP INC - DECREASE IN INVESTMENTS</t>
  </si>
  <si>
    <t>U:GAP(WC04440)~U$</t>
  </si>
  <si>
    <t>NORDSTROM - MARKET VALUE</t>
  </si>
  <si>
    <t>U:JWN(MV)~U$</t>
  </si>
  <si>
    <t>US6556641008</t>
  </si>
  <si>
    <t>NORDSTROM - PER</t>
  </si>
  <si>
    <t>U:JWN(PE)</t>
  </si>
  <si>
    <t>NORDSTROM - 12MTH FORWARD EPS</t>
  </si>
  <si>
    <t>U:JWN(EPS1FD12)~U$</t>
  </si>
  <si>
    <t>NORDSTROM</t>
  </si>
  <si>
    <t>529E(U:JWN)</t>
  </si>
  <si>
    <t>384E(U:JWN)</t>
  </si>
  <si>
    <t>380E(U:JWN)</t>
  </si>
  <si>
    <t>157E(U:JWN)</t>
  </si>
  <si>
    <t>388E(U:JWN)</t>
  </si>
  <si>
    <t>334E(U:JWN)</t>
  </si>
  <si>
    <t>338E(U:JWN)</t>
  </si>
  <si>
    <t>251E(U:JWN)</t>
  </si>
  <si>
    <t>250E(U:JWN)</t>
  </si>
  <si>
    <t>553E(U:JWN)</t>
  </si>
  <si>
    <t>NORDSTROM - 12MTH TRAILING EPS</t>
  </si>
  <si>
    <t>U:JWN(EPS1TR12)~U$</t>
  </si>
  <si>
    <t>NORDSTROM - DIV.PER SHR.</t>
  </si>
  <si>
    <t>U:JWN(DPS)~U$</t>
  </si>
  <si>
    <t>354E(U:JWN)</t>
  </si>
  <si>
    <t>NORDSTROM - EARNINGS PER SHR</t>
  </si>
  <si>
    <t>U:JWN(EPS)~U$</t>
  </si>
  <si>
    <t>897E(U:JWN)</t>
  </si>
  <si>
    <t>400E(U:JWN)</t>
  </si>
  <si>
    <t>NORDSTROM, INC. - ACCOUNTS PAYABLE</t>
  </si>
  <si>
    <t>U:JWN(WC03040)~U$</t>
  </si>
  <si>
    <t>NORDSTROM, INC. - AMORTIZATION OF DEFERRED CHARG</t>
  </si>
  <si>
    <t>U:JWN(WC01150)~U$</t>
  </si>
  <si>
    <t>NORDSTROM, INC. - AMORTIZATION-INTANGIBLE ASSETS</t>
  </si>
  <si>
    <t>U:JWN(WC04050)~U$</t>
  </si>
  <si>
    <t>NORDSTROM, INC. - AMORTIZATION OF INTANGIBLES</t>
  </si>
  <si>
    <t>U:JWN(WC01149)~U$</t>
  </si>
  <si>
    <t>NORDSTROM, INC. - BOOK VALUE-OUT SHARES-FISCAL</t>
  </si>
  <si>
    <t>U:JWN(WC05491)~U$</t>
  </si>
  <si>
    <t>NORDSTROM, INC. - BOOK VALUE PER SHARE</t>
  </si>
  <si>
    <t>U:JWN(WC05476)~U$</t>
  </si>
  <si>
    <t>NORDSTROM, INC. - CAPITAL EXPENDITURES</t>
  </si>
  <si>
    <t>U:JWN(WC04601)~U$</t>
  </si>
  <si>
    <t>NORDSTROM, INC. - CASH</t>
  </si>
  <si>
    <t>U:JWN(WC02003)~U$</t>
  </si>
  <si>
    <t>NORDSTROM, INC. - CASH - GENERIC</t>
  </si>
  <si>
    <t>U:JWN(WC02005)~U$</t>
  </si>
  <si>
    <t>NORDSTROM, INC. - CASH &amp; SHORT TERM INVESTMENTS</t>
  </si>
  <si>
    <t>U:JWN(WC02001)~U$</t>
  </si>
  <si>
    <t>NORDSTROM, INC. - CASH DIVIDENDS PAID - TOTAL</t>
  </si>
  <si>
    <t>U:JWN(WC04551)~U$</t>
  </si>
  <si>
    <t>NORDSTROM, INC. - CASH FLOW PER SHARE</t>
  </si>
  <si>
    <t>U:JWN(WC05501)~U$</t>
  </si>
  <si>
    <t>NORDSTROM, INC. - CASH FLOW PER SHARE - FIS YR</t>
  </si>
  <si>
    <t>U:JWN(WC05502)~U$</t>
  </si>
  <si>
    <t>NORDSTROM, INC. - COMMON DIVIDENDS (CASH)</t>
  </si>
  <si>
    <t>U:JWN(WC05376)~U$</t>
  </si>
  <si>
    <t>NORDSTROM, INC. - COMMON SHAREHOLDERS' EQUITY</t>
  </si>
  <si>
    <t>U:JWN(WC03501)~U$</t>
  </si>
  <si>
    <t>NORDSTROM, INC. - COMMON STOCK</t>
  </si>
  <si>
    <t>U:JWN(WC03480)~U$</t>
  </si>
  <si>
    <t>NORDSTROM, INC. - COST OF GOODS SOLD (EXCL DEP)</t>
  </si>
  <si>
    <t>U:JWN(WC01051)~U$</t>
  </si>
  <si>
    <t>NORDSTROM, INC. - CURRENT ASSETS - TOTAL</t>
  </si>
  <si>
    <t>U:JWN(WC02201)~U$</t>
  </si>
  <si>
    <t>NORDSTROM, INC. - CURRENT LIABILITIES-TOTAL</t>
  </si>
  <si>
    <t>U:JWN(WC03101)~U$</t>
  </si>
  <si>
    <t>NORDSTROM, INC. - DEPRECIATION AND DEPLETION</t>
  </si>
  <si>
    <t>U:JWN(WC04049)~U$</t>
  </si>
  <si>
    <t>NORDSTROM, INC. - DEPRECIATION/DEPLETION/AMORT</t>
  </si>
  <si>
    <t>U:JWN(WC01151)~U$</t>
  </si>
  <si>
    <t>NORDSTROM, INC. - DIVIDENDS PER SHARE</t>
  </si>
  <si>
    <t>U:JWN(WC05101)~U$</t>
  </si>
  <si>
    <t>NORDSTROM, INC. - DIVIDENDS PER SHARE - FISCAL</t>
  </si>
  <si>
    <t>U:JWN(WC05110)~U$</t>
  </si>
  <si>
    <t>NORDSTROM, INC. - EARNINGS BEF INTEREST &amp; TAXES</t>
  </si>
  <si>
    <t>U:JWN(WC18191)~U$</t>
  </si>
  <si>
    <t>NORDSTROM, INC. - EBIT &amp; DEPRECIATION</t>
  </si>
  <si>
    <t>U:JWN(WC18198)~U$</t>
  </si>
  <si>
    <t>NORDSTROM, INC. - EARNINGS PER SHARE</t>
  </si>
  <si>
    <t>U:JWN(WC05201)~U$</t>
  </si>
  <si>
    <t>NORDSTROM, INC. - FISCAL EPS-FULLY DILUTED-YR</t>
  </si>
  <si>
    <t>U:JWN(WC10030)~U$</t>
  </si>
  <si>
    <t>NORDSTROM, INC. - ENTERPRISE VALUE</t>
  </si>
  <si>
    <t>U:JWN(WC18100)~U$</t>
  </si>
  <si>
    <t>NORDSTROM, INC. - GROSS INCOME</t>
  </si>
  <si>
    <t>U:JWN(WC01100)~U$</t>
  </si>
  <si>
    <t>NORDSTROM, INC. - INCOME TAXES</t>
  </si>
  <si>
    <t>U:JWN(WC01451)~U$</t>
  </si>
  <si>
    <t>NORDSTROM, INC. - INCREASE/DECREASE IN CASH/SHOR</t>
  </si>
  <si>
    <t>U:JWN(WC04851)~U$</t>
  </si>
  <si>
    <t>NORDSTROM, INC. - INTEREST EXPENSE ON DEBT</t>
  </si>
  <si>
    <t>U:JWN(WC01251)~U$</t>
  </si>
  <si>
    <t>NORDSTROM, INC. - TOTAL INVENTORIES</t>
  </si>
  <si>
    <t>U:JWN(WC02101)~U$</t>
  </si>
  <si>
    <t>NORDSTROM, INC. - LONG TERM DEBT</t>
  </si>
  <si>
    <t>U:JWN(WC03251)~U$</t>
  </si>
  <si>
    <t>NORDSTROM, INC. - MARKET CAPITALIZATION</t>
  </si>
  <si>
    <t>U:JWN(WC08001)~U$</t>
  </si>
  <si>
    <t>NORDSTROM, INC. - NET CASH FLOW - FINANCING</t>
  </si>
  <si>
    <t>U:JWN(WC04890)~U$</t>
  </si>
  <si>
    <t>NORDSTROM, INC. - NET CASH FLOW - INVESTING</t>
  </si>
  <si>
    <t>U:JWN(WC04870)~U$</t>
  </si>
  <si>
    <t>NORDSTROM, INC. - NET CASH FLOW-OPERATING ACTIVS</t>
  </si>
  <si>
    <t>U:JWN(WC04860)~U$</t>
  </si>
  <si>
    <t>NORDSTROM, INC. - NET DEBT</t>
  </si>
  <si>
    <t>U:JWN(WC18199)~U$</t>
  </si>
  <si>
    <t>NORDSTROM, INC. - NET INCOME - DILUTED</t>
  </si>
  <si>
    <t>U:JWN(WC01705)~U$</t>
  </si>
  <si>
    <t>NORDSTROM, INC. - NET SALES OR REVENUES</t>
  </si>
  <si>
    <t>U:JWN(WC01001)~U$</t>
  </si>
  <si>
    <t>NORDSTROM, INC. - NON-OPERATING INTEREST INCOME</t>
  </si>
  <si>
    <t>U:JWN(WC01266)~U$</t>
  </si>
  <si>
    <t>NORDSTROM, INC. - OPERATING EXPENSES - TOTAL</t>
  </si>
  <si>
    <t>U:JWN(WC01249)~U$</t>
  </si>
  <si>
    <t>NORDSTROM, INC. - OPERATING INCOME</t>
  </si>
  <si>
    <t>U:JWN(WC01250)~U$</t>
  </si>
  <si>
    <t>NORDSTROM, INC. - PRETAX INCOME</t>
  </si>
  <si>
    <t>U:JWN(WC01401)~U$</t>
  </si>
  <si>
    <t>NORDSTROM, INC. - PROPERTY, PLANT &amp; EQUIP - NET</t>
  </si>
  <si>
    <t>U:JWN(WC02501)~U$</t>
  </si>
  <si>
    <t>NORDSTROM, INC. - RECEIVABLES(NET)</t>
  </si>
  <si>
    <t>U:JWN(WC02051)~U$</t>
  </si>
  <si>
    <t>NORDSTROM, INC. - SELLING, GENERAL &amp; ADMINISTRAT</t>
  </si>
  <si>
    <t>U:JWN(WC01101)~U$</t>
  </si>
  <si>
    <t>NORDSTROM, INC. - SHORT TERM DEBT &amp; CURRENT PORT</t>
  </si>
  <si>
    <t>U:JWN(WC03051)~U$</t>
  </si>
  <si>
    <t>NORDSTROM, INC. - TOTAL ASSETS</t>
  </si>
  <si>
    <t>U:JWN(WC02999)~U$</t>
  </si>
  <si>
    <t>NORDSTROM, INC. - TOTAL CAPITAL</t>
  </si>
  <si>
    <t>U:JWN(WC03998)~U$</t>
  </si>
  <si>
    <t>NORDSTROM, INC. - TOTAL DEBT</t>
  </si>
  <si>
    <t>U:JWN(WC03255)~U$</t>
  </si>
  <si>
    <t>NORDSTROM, INC. - TOTAL INTANGIBLE OT ASSETS-NET</t>
  </si>
  <si>
    <t>U:JWN(WC02649)~U$</t>
  </si>
  <si>
    <t>NORDSTROM, INC. - TOTAL LIABILITIES</t>
  </si>
  <si>
    <t>U:JWN(WC03351)~U$</t>
  </si>
  <si>
    <t>NORDSTROM, INC. - TOTAL LIABILITIES &amp; SHAREHOLDE</t>
  </si>
  <si>
    <t>U:JWN(WC03999)~U$</t>
  </si>
  <si>
    <t>NORDSTROM, INC. - TOTAL SHAREHOLDERS EQUITY</t>
  </si>
  <si>
    <t>U:JWN(WC03995)~U$</t>
  </si>
  <si>
    <t>NORDSTROM, INC. - WORKING CAPITAL</t>
  </si>
  <si>
    <t>U:JWN(WC03151)~U$</t>
  </si>
  <si>
    <t>NORDSTROM - BK VAL PS 12M FWD</t>
  </si>
  <si>
    <t>U:JWN(DIBV)~U$</t>
  </si>
  <si>
    <t>NORDSTROM - EV 12M FWD</t>
  </si>
  <si>
    <t>U:JWN(DIEV)~U$</t>
  </si>
  <si>
    <t>NORDSTROM - NET INCOME 12M FWD</t>
  </si>
  <si>
    <t>U:JWN(DINI)~U$</t>
  </si>
  <si>
    <t>NORDSTROM - PRETAX PRF 12M FWD</t>
  </si>
  <si>
    <t>U:JWN(DINP)~U$</t>
  </si>
  <si>
    <t>NORDSTROM - ROE 12M FWD</t>
  </si>
  <si>
    <t>U:JWN(DIRE)~U$</t>
  </si>
  <si>
    <t>NORDSTROM - SALES 12M FWD</t>
  </si>
  <si>
    <t>U:JWN(DISL)~U$</t>
  </si>
  <si>
    <t>NORDSTROM, INC. - DECREASE/INCREASE RECEIVABLES</t>
  </si>
  <si>
    <t>U:JWN(WC04825)~U$</t>
  </si>
  <si>
    <t>NORDSTROM, INC. - DECREASE/INCR OTH ASTS/LIABILT</t>
  </si>
  <si>
    <t>U:JWN(WC04830)~U$</t>
  </si>
  <si>
    <t>NORDSTROM, INC. - DECREASE/INCREASE INVENTORIES</t>
  </si>
  <si>
    <t>U:JWN(WC04826)~U$</t>
  </si>
  <si>
    <t>NORDSTROM, INC. - DECREASE IN INVESTMENTS</t>
  </si>
  <si>
    <t>U:JWN(WC04440)~U$</t>
  </si>
  <si>
    <t>TILLY'S CLASS A - MARKET VALUE</t>
  </si>
  <si>
    <t>U:TLYS(MV)~U$</t>
  </si>
  <si>
    <t>US8868851028</t>
  </si>
  <si>
    <t>TILLY'S CLASS A - PER</t>
  </si>
  <si>
    <t>U:TLYS(PE)</t>
  </si>
  <si>
    <t>TILLY'S CLASS A - 12MTH FORWARD EPS</t>
  </si>
  <si>
    <t>U:TLYS(EPS1FD12)~U$</t>
  </si>
  <si>
    <t>TILLY'S CLASS A</t>
  </si>
  <si>
    <t>529E(U:TLYS)</t>
  </si>
  <si>
    <t>384E(U:TLYS)</t>
  </si>
  <si>
    <t>380E(U:TLYS)</t>
  </si>
  <si>
    <t>157E(U:TLYS)</t>
  </si>
  <si>
    <t>388E(U:TLYS)</t>
  </si>
  <si>
    <t>334E(U:TLYS)</t>
  </si>
  <si>
    <t>338E(U:TLYS)</t>
  </si>
  <si>
    <t>251E(U:TLYS)</t>
  </si>
  <si>
    <t>250E(U:TLYS)</t>
  </si>
  <si>
    <t>553E(U:TLYS)</t>
  </si>
  <si>
    <t>TILLY'S CLASS A - 12MTH TRAILING EPS</t>
  </si>
  <si>
    <t>U:TLYS(EPS1TR12)~U$</t>
  </si>
  <si>
    <t>TILLY'S CLASS A - DIV.PER SHR.</t>
  </si>
  <si>
    <t>U:TLYS(DPS)~U$</t>
  </si>
  <si>
    <t>354E(U:TLYS)</t>
  </si>
  <si>
    <t>TILLY'S CLASS A - EARNINGS PER SHR</t>
  </si>
  <si>
    <t>U:TLYS(EPS)~U$</t>
  </si>
  <si>
    <t>897E(U:TLYS)</t>
  </si>
  <si>
    <t>400E(U:TLYS)</t>
  </si>
  <si>
    <t>TILLYS INC - ACCOUNTS PAYABLE</t>
  </si>
  <si>
    <t>U:TLYS(WC03040)~U$</t>
  </si>
  <si>
    <t>TILLYS INC - AMORTIZATION OF DEFERRED CHARG</t>
  </si>
  <si>
    <t>U:TLYS(WC01150)~U$</t>
  </si>
  <si>
    <t>TILLYS INC - BOOK VALUE-OUT SHARES-FISCAL</t>
  </si>
  <si>
    <t>U:TLYS(WC05491)~U$</t>
  </si>
  <si>
    <t>TILLYS INC - BOOK VALUE PER SHARE</t>
  </si>
  <si>
    <t>U:TLYS(WC05476)~U$</t>
  </si>
  <si>
    <t>TILLYS INC - CAPITAL EXPENDITURES</t>
  </si>
  <si>
    <t>U:TLYS(WC04601)~U$</t>
  </si>
  <si>
    <t>TILLYS INC - CASH</t>
  </si>
  <si>
    <t>U:TLYS(WC02003)~U$</t>
  </si>
  <si>
    <t>TILLYS INC - CASH - GENERIC</t>
  </si>
  <si>
    <t>U:TLYS(WC02005)~U$</t>
  </si>
  <si>
    <t>TILLYS INC - CASH &amp; SHORT TERM INVESTMENTS</t>
  </si>
  <si>
    <t>U:TLYS(WC02001)~U$</t>
  </si>
  <si>
    <t>TILLYS INC - CASH DIVIDENDS PAID - TOTAL</t>
  </si>
  <si>
    <t>U:TLYS(WC04551)~U$</t>
  </si>
  <si>
    <t>TILLYS INC - CASH FLOW PER SHARE</t>
  </si>
  <si>
    <t>U:TLYS(WC05501)~U$</t>
  </si>
  <si>
    <t>TILLYS INC - CASH FLOW PER SHARE - FIS YR</t>
  </si>
  <si>
    <t>U:TLYS(WC05502)~U$</t>
  </si>
  <si>
    <t>TILLYS INC - COMMON DIVIDENDS (CASH)</t>
  </si>
  <si>
    <t>U:TLYS(WC05376)~U$</t>
  </si>
  <si>
    <t>TILLYS INC - COMMON SHAREHOLDERS' EQUITY</t>
  </si>
  <si>
    <t>U:TLYS(WC03501)~U$</t>
  </si>
  <si>
    <t>TILLYS INC - COMMON STOCK</t>
  </si>
  <si>
    <t>U:TLYS(WC03480)~U$</t>
  </si>
  <si>
    <t>TILLYS INC - COST OF GOODS SOLD (EXCL DEP)</t>
  </si>
  <si>
    <t>U:TLYS(WC01051)~U$</t>
  </si>
  <si>
    <t>TILLYS INC - CURRENT ASSETS - TOTAL</t>
  </si>
  <si>
    <t>U:TLYS(WC02201)~U$</t>
  </si>
  <si>
    <t>TILLYS INC - CURRENT LIABILITIES-TOTAL</t>
  </si>
  <si>
    <t>U:TLYS(WC03101)~U$</t>
  </si>
  <si>
    <t>TILLYS INC - DEFERRED TAXES</t>
  </si>
  <si>
    <t>U:TLYS(WC03263)~U$</t>
  </si>
  <si>
    <t>TILLYS INC - DEPRECIATION AND DEPLETION</t>
  </si>
  <si>
    <t>U:TLYS(WC04049)~U$</t>
  </si>
  <si>
    <t>TILLYS INC - DEPRECIATION/DEPLETION/AMORT</t>
  </si>
  <si>
    <t>U:TLYS(WC01151)~U$</t>
  </si>
  <si>
    <t>TILLYS INC - DIVIDENDS PER SHARE</t>
  </si>
  <si>
    <t>U:TLYS(WC05101)~U$</t>
  </si>
  <si>
    <t>TILLYS INC - DIVIDENDS PER SHARE - FISCAL</t>
  </si>
  <si>
    <t>U:TLYS(WC05110)~U$</t>
  </si>
  <si>
    <t>TILLYS INC - EARNINGS BEF INTEREST &amp; TAXES</t>
  </si>
  <si>
    <t>U:TLYS(WC18191)~U$</t>
  </si>
  <si>
    <t>TILLYS INC - EBIT &amp; DEPRECIATION</t>
  </si>
  <si>
    <t>U:TLYS(WC18198)~U$</t>
  </si>
  <si>
    <t>TILLYS INC - EARNINGS PER SHARE</t>
  </si>
  <si>
    <t>U:TLYS(WC05201)~U$</t>
  </si>
  <si>
    <t>TILLYS INC - FISCAL EPS-FULLY DILUTED-YR</t>
  </si>
  <si>
    <t>U:TLYS(WC10030)~U$</t>
  </si>
  <si>
    <t>TILLYS INC - ENTERPRISE VALUE</t>
  </si>
  <si>
    <t>U:TLYS(WC18100)~U$</t>
  </si>
  <si>
    <t>TILLYS INC - GROSS INCOME</t>
  </si>
  <si>
    <t>U:TLYS(WC01100)~U$</t>
  </si>
  <si>
    <t>TILLYS INC - INCOME TAXES</t>
  </si>
  <si>
    <t>U:TLYS(WC01451)~U$</t>
  </si>
  <si>
    <t>TILLYS INC - INCREASE/DECREASE IN CASH/SHOR</t>
  </si>
  <si>
    <t>U:TLYS(WC04851)~U$</t>
  </si>
  <si>
    <t>TILLYS INC - INTEREST EXPENSE ON DEBT</t>
  </si>
  <si>
    <t>U:TLYS(WC01251)~U$</t>
  </si>
  <si>
    <t>TILLYS INC - TOTAL INVENTORIES</t>
  </si>
  <si>
    <t>U:TLYS(WC02101)~U$</t>
  </si>
  <si>
    <t>TILLYS INC - LONG TERM DEBT</t>
  </si>
  <si>
    <t>U:TLYS(WC03251)~U$</t>
  </si>
  <si>
    <t>TILLYS INC - MARKET CAPITALIZATION</t>
  </si>
  <si>
    <t>U:TLYS(WC08001)~U$</t>
  </si>
  <si>
    <t>TILLYS INC - NET CASH FLOW - FINANCING</t>
  </si>
  <si>
    <t>U:TLYS(WC04890)~U$</t>
  </si>
  <si>
    <t>TILLYS INC - NET CASH FLOW - INVESTING</t>
  </si>
  <si>
    <t>U:TLYS(WC04870)~U$</t>
  </si>
  <si>
    <t>TILLYS INC - NET CASH FLOW-OPERATING ACTIVS</t>
  </si>
  <si>
    <t>U:TLYS(WC04860)~U$</t>
  </si>
  <si>
    <t>TILLYS INC - NET DEBT</t>
  </si>
  <si>
    <t>U:TLYS(WC18199)~U$</t>
  </si>
  <si>
    <t>TILLYS INC - NET INCOME - DILUTED</t>
  </si>
  <si>
    <t>U:TLYS(WC01705)~U$</t>
  </si>
  <si>
    <t>TILLYS INC - NET SALES OR REVENUES</t>
  </si>
  <si>
    <t>U:TLYS(WC01001)~U$</t>
  </si>
  <si>
    <t>TILLYS INC - OPERATING EXPENSES - TOTAL</t>
  </si>
  <si>
    <t>U:TLYS(WC01249)~U$</t>
  </si>
  <si>
    <t>TILLYS INC - OPERATING INCOME</t>
  </si>
  <si>
    <t>U:TLYS(WC01250)~U$</t>
  </si>
  <si>
    <t>TILLYS INC - PRETAX INCOME</t>
  </si>
  <si>
    <t>U:TLYS(WC01401)~U$</t>
  </si>
  <si>
    <t>TILLYS INC - PROPERTY, PLANT &amp; EQUIP - NET</t>
  </si>
  <si>
    <t>U:TLYS(WC02501)~U$</t>
  </si>
  <si>
    <t>TILLYS INC - RECEIVABLES(NET)</t>
  </si>
  <si>
    <t>U:TLYS(WC02051)~U$</t>
  </si>
  <si>
    <t>TILLYS INC - SELLING, GENERAL &amp; ADMINISTRAT</t>
  </si>
  <si>
    <t>U:TLYS(WC01101)~U$</t>
  </si>
  <si>
    <t>TILLYS INC - SHORT TERM DEBT &amp; CURRENT PORT</t>
  </si>
  <si>
    <t>U:TLYS(WC03051)~U$</t>
  </si>
  <si>
    <t>TILLYS INC - TOTAL ASSETS</t>
  </si>
  <si>
    <t>U:TLYS(WC02999)~U$</t>
  </si>
  <si>
    <t>TILLYS INC - TOTAL CAPITAL</t>
  </si>
  <si>
    <t>U:TLYS(WC03998)~U$</t>
  </si>
  <si>
    <t>TILLYS INC - TOTAL DEBT</t>
  </si>
  <si>
    <t>U:TLYS(WC03255)~U$</t>
  </si>
  <si>
    <t>TILLYS INC - TOTAL INTANGIBLE OT ASSETS-NET</t>
  </si>
  <si>
    <t>U:TLYS(WC02649)~U$</t>
  </si>
  <si>
    <t>TILLYS INC - TOTAL LIABILITIES</t>
  </si>
  <si>
    <t>U:TLYS(WC03351)~U$</t>
  </si>
  <si>
    <t>TILLYS INC - TOTAL LIABILITIES &amp; SHAREHOLDE</t>
  </si>
  <si>
    <t>U:TLYS(WC03999)~U$</t>
  </si>
  <si>
    <t>TILLYS INC - TOTAL SHAREHOLDERS EQUITY</t>
  </si>
  <si>
    <t>U:TLYS(WC03995)~U$</t>
  </si>
  <si>
    <t>TILLYS INC - WORKING CAPITAL</t>
  </si>
  <si>
    <t>U:TLYS(WC03151)~U$</t>
  </si>
  <si>
    <t>TILLY'S CLASS A - BK VAL PS 12M FWD</t>
  </si>
  <si>
    <t>U:TLYS(DIBV)~U$</t>
  </si>
  <si>
    <t>TILLY'S CLASS A - EV 12M FWD</t>
  </si>
  <si>
    <t>U:TLYS(DIEV)~U$</t>
  </si>
  <si>
    <t>TILLY'S CLASS A - NET INCOME 12M FWD</t>
  </si>
  <si>
    <t>U:TLYS(DINI)~U$</t>
  </si>
  <si>
    <t>TILLY'S CLASS A - PRETAX PRF 12M FWD</t>
  </si>
  <si>
    <t>U:TLYS(DINP)~U$</t>
  </si>
  <si>
    <t>TILLY'S CLASS A - ROE 12M FWD</t>
  </si>
  <si>
    <t>U:TLYS(DIRE)~U$</t>
  </si>
  <si>
    <t>TILLY'S CLASS A - SALES 12M FWD</t>
  </si>
  <si>
    <t>U:TLYS(DISL)~U$</t>
  </si>
  <si>
    <t>TILLYS INC - DECREASE/INCREASE RECEIVABLES</t>
  </si>
  <si>
    <t>U:TLYS(WC04825)~U$</t>
  </si>
  <si>
    <t>TILLYS INC - DECREASE/INCR OTH ASTS/LIABILT</t>
  </si>
  <si>
    <t>U:TLYS(WC04830)~U$</t>
  </si>
  <si>
    <t>TILLYS INC - DECREASE/INCREASE INVENTORIES</t>
  </si>
  <si>
    <t>U:TLYS(WC04826)~U$</t>
  </si>
  <si>
    <t>TILLYS INC - DECREASE IN INVESTMENTS</t>
  </si>
  <si>
    <t>U:TLYS(WC04440)~U$</t>
  </si>
  <si>
    <t>2019</t>
  </si>
  <si>
    <t>2020</t>
  </si>
  <si>
    <t>2021</t>
  </si>
  <si>
    <t>2022</t>
  </si>
  <si>
    <t>2023</t>
  </si>
  <si>
    <t>2024</t>
  </si>
  <si>
    <t>Statement Code</t>
  </si>
  <si>
    <t>Value Type</t>
  </si>
  <si>
    <t>EBITDA 2023</t>
  </si>
  <si>
    <t>EPS 2023</t>
  </si>
  <si>
    <t>Balance Sheet Statements</t>
  </si>
  <si>
    <t>Cash &amp; Equivalents</t>
  </si>
  <si>
    <t>Current Debt</t>
  </si>
  <si>
    <t>Long Term Debt</t>
  </si>
  <si>
    <t>LTM Dividend</t>
  </si>
  <si>
    <t>Total Diluted Shares Outstanding</t>
  </si>
  <si>
    <t>CapEx</t>
  </si>
  <si>
    <t>CF Statements</t>
  </si>
  <si>
    <t>Dividend Payments</t>
  </si>
  <si>
    <t>Total Liabilities</t>
  </si>
  <si>
    <t>FY2025A</t>
  </si>
  <si>
    <t>FY2030E</t>
  </si>
  <si>
    <t>Oct 31, 2023</t>
  </si>
  <si>
    <t>Oct 31, 2025</t>
  </si>
  <si>
    <t>Other income/expenses (non-operating)</t>
  </si>
  <si>
    <t>Reported effective tax rate</t>
  </si>
  <si>
    <t>SG&amp;A (adjusted for D&amp;A)</t>
  </si>
  <si>
    <t>x</t>
  </si>
  <si>
    <t>Irregular income/expense</t>
  </si>
  <si>
    <t>EBT</t>
  </si>
  <si>
    <t>('21 - 25')</t>
  </si>
  <si>
    <t>Risk free rate (ECB)</t>
  </si>
  <si>
    <t>Adjusted EBT</t>
  </si>
  <si>
    <t>1) Adjusted Gross profit for store impairment and lease abandonment charges. Seen as long-term cause of weakness from COVID19-Pandemic.</t>
  </si>
  <si>
    <t>Reported EBT</t>
  </si>
  <si>
    <t>Net interest income/expense &amp; other</t>
  </si>
  <si>
    <t>Present Value of Terminal Value</t>
  </si>
  <si>
    <t>2) Adjusted EBT for other non-operating, non-recurring income/expenses; e.g., goodwill impairment and other write down.</t>
  </si>
  <si>
    <t>Net cash from operating activities</t>
  </si>
  <si>
    <t>Net cash from investing activities</t>
  </si>
  <si>
    <t>Net cash from financing activities</t>
  </si>
  <si>
    <t>($ in thousands, except share and per share data)</t>
  </si>
  <si>
    <t>Operating Lease Liabilities</t>
  </si>
  <si>
    <t xml:space="preserve">   Increase / (Decrease) in NWC</t>
  </si>
  <si>
    <t>2026E Sales</t>
  </si>
  <si>
    <t>EBITDA 2024</t>
  </si>
  <si>
    <t>2026E EBITDA</t>
  </si>
  <si>
    <t>2026E EBIT</t>
  </si>
  <si>
    <t>LTM Gross Profit</t>
  </si>
  <si>
    <t>EBIT 2024</t>
  </si>
  <si>
    <t>Sales 2024</t>
  </si>
  <si>
    <t>Sales 2023</t>
  </si>
  <si>
    <t>EBIT 2023</t>
  </si>
  <si>
    <r>
      <t xml:space="preserve">(2) Obtained from </t>
    </r>
    <r>
      <rPr>
        <i/>
        <sz val="12"/>
        <rFont val="Arial"/>
        <family val="2"/>
      </rPr>
      <t>KPMG U.S. Equity Risk Premium</t>
    </r>
  </si>
  <si>
    <r>
      <t xml:space="preserve">(3) Obtained from </t>
    </r>
    <r>
      <rPr>
        <i/>
        <sz val="12"/>
        <color theme="1"/>
        <rFont val="Aptos Narrow"/>
        <scheme val="minor"/>
      </rPr>
      <t>Kroll U.S. Cost of Capital Size Premiums</t>
    </r>
  </si>
  <si>
    <t>(in $ thousands, except per share data)</t>
  </si>
  <si>
    <t>2026E EPS</t>
  </si>
  <si>
    <t>LTM EPS Growth</t>
  </si>
  <si>
    <t>2024 EPS</t>
  </si>
  <si>
    <t>BB</t>
  </si>
  <si>
    <t>Ba2</t>
  </si>
  <si>
    <t>BBB-</t>
  </si>
  <si>
    <t>AA</t>
  </si>
  <si>
    <t>BB+</t>
  </si>
  <si>
    <t>Ba1</t>
  </si>
  <si>
    <t>Zara (Inditex) (all figures in EUR)</t>
  </si>
  <si>
    <t>BB-</t>
  </si>
  <si>
    <t>Ba3</t>
  </si>
  <si>
    <t>Zara</t>
  </si>
  <si>
    <t>DCF</t>
  </si>
  <si>
    <t>EV/Revenue 1yr</t>
  </si>
  <si>
    <t>EV/Revenue LTM</t>
  </si>
  <si>
    <t>EV/EBIT LTM</t>
  </si>
  <si>
    <t>EV/EBIT 1yr</t>
  </si>
  <si>
    <t>EV/EBITDA LTM</t>
  </si>
  <si>
    <t>EV/EBITDA 1yr</t>
  </si>
  <si>
    <t>Gap</t>
  </si>
  <si>
    <t>Valuation Football Field</t>
  </si>
  <si>
    <t>($ in thousand, execpt per share data and shares)</t>
  </si>
  <si>
    <t>(52-week high and low)</t>
  </si>
  <si>
    <t>2025E Dividend</t>
  </si>
  <si>
    <t>Quarter</t>
  </si>
  <si>
    <t>Column1</t>
  </si>
  <si>
    <t>Column2</t>
  </si>
  <si>
    <t>Q3 2025A</t>
  </si>
  <si>
    <t>Q4 2026E</t>
  </si>
  <si>
    <t>Middle East</t>
  </si>
  <si>
    <t>Subscribers</t>
  </si>
  <si>
    <t>Sum of Subscribers</t>
  </si>
  <si>
    <t>Market size</t>
  </si>
  <si>
    <t>U.S.</t>
  </si>
  <si>
    <t>China</t>
  </si>
  <si>
    <t>India</t>
  </si>
  <si>
    <t>Japan</t>
  </si>
  <si>
    <t>U.K.</t>
  </si>
  <si>
    <t>Germany</t>
  </si>
  <si>
    <t>Italy</t>
  </si>
  <si>
    <t>France</t>
  </si>
  <si>
    <t>Canada</t>
  </si>
  <si>
    <t>South Korea</t>
  </si>
  <si>
    <t>Brazil</t>
  </si>
  <si>
    <t>Russia</t>
  </si>
  <si>
    <t>Spain</t>
  </si>
  <si>
    <t>Country</t>
  </si>
  <si>
    <t>Region</t>
  </si>
  <si>
    <t>Americas</t>
  </si>
  <si>
    <t>Asia</t>
  </si>
  <si>
    <t>Women's</t>
  </si>
  <si>
    <t>Men's</t>
  </si>
  <si>
    <t>Children's</t>
  </si>
  <si>
    <t>Expenditure category</t>
  </si>
  <si>
    <t>Apparel for women, 16 and over</t>
  </si>
  <si>
    <t>Apparel for girls, 2 to 15</t>
  </si>
  <si>
    <t>Women's footwear</t>
  </si>
  <si>
    <t>Apparel for men, 16 and over</t>
  </si>
  <si>
    <t>Apparel for boys, 2 to 15</t>
  </si>
  <si>
    <t>Men's footwear</t>
  </si>
  <si>
    <t>All items</t>
  </si>
  <si>
    <t>Apparel (total)</t>
  </si>
  <si>
    <t>Women's apparel</t>
  </si>
  <si>
    <t>Girls' apparel</t>
  </si>
  <si>
    <t>Men's apparel</t>
  </si>
  <si>
    <t>Boys' apparel</t>
  </si>
  <si>
    <t>Boys' and girls' footwear</t>
  </si>
  <si>
    <t>Jewelry</t>
  </si>
  <si>
    <t>Watches</t>
  </si>
  <si>
    <t>Fashion Apparel Market size</t>
  </si>
  <si>
    <t>Source</t>
  </si>
  <si>
    <t>Fashion Apparel Market Size in 2024 by Country</t>
  </si>
  <si>
    <t>Fashion Apparel Market Size in 2024A and 2027E by Buyer Category</t>
  </si>
  <si>
    <t>Average Spending on Fashion Apparel per U.S. Citizen per year in 2023</t>
  </si>
  <si>
    <t>CPI for Apparel Categories in the U.S. from 1978 until 2024</t>
  </si>
  <si>
    <t>https://www,uniformmarket,com/statistics/global-apparel-industry-statistics</t>
  </si>
  <si>
    <t>Expenditure (U,S, dollars)</t>
  </si>
  <si>
    <t>https://www,bls,gov/opub/ted/2025/apparel-data-in-fashion,htm</t>
  </si>
  <si>
    <t>U.S. GDP and GDP growth rate</t>
  </si>
  <si>
    <t>Nominal GDP (USD Trillions)</t>
  </si>
  <si>
    <t>Real GDP Growth Rate (%)</t>
  </si>
  <si>
    <t>https://tradingeconomics.com/united-states/gdp-growth</t>
  </si>
  <si>
    <t>https://www.statista.com/statistics/188105/annual-gdp-of-the-united-states-since-1990/</t>
  </si>
  <si>
    <t>Revenue of Competitors</t>
  </si>
  <si>
    <t>Competitor</t>
  </si>
  <si>
    <t>Share</t>
  </si>
  <si>
    <t>Sources</t>
  </si>
  <si>
    <t>Yahoo Finance, SEC EDGAR 10k forms</t>
  </si>
  <si>
    <t>U.S. Credit Card Debt</t>
  </si>
  <si>
    <t>'18</t>
  </si>
  <si>
    <t>'19</t>
  </si>
  <si>
    <t>'20</t>
  </si>
  <si>
    <t>'21</t>
  </si>
  <si>
    <t>'22</t>
  </si>
  <si>
    <t>'23</t>
  </si>
  <si>
    <t>'24</t>
  </si>
  <si>
    <t>2025E</t>
  </si>
  <si>
    <t>2026E</t>
  </si>
  <si>
    <t>2027E</t>
  </si>
  <si>
    <t>2028E</t>
  </si>
  <si>
    <t>U.S. Inflation Rate</t>
  </si>
  <si>
    <t>Inflation Rate</t>
  </si>
  <si>
    <t>https://www.usinflationcalculator.com/inflation/current-inflation-rates/</t>
  </si>
  <si>
    <t>Market share (2024)</t>
  </si>
  <si>
    <t>CAGR '21-'25</t>
  </si>
  <si>
    <t>NASDAQ</t>
  </si>
  <si>
    <t>Founded</t>
  </si>
  <si>
    <t>Stock Price</t>
  </si>
  <si>
    <t>Target Price</t>
  </si>
  <si>
    <t>52-week high</t>
  </si>
  <si>
    <t>52-week low</t>
  </si>
  <si>
    <t>Implied volatility</t>
  </si>
  <si>
    <t>Implied Beta</t>
  </si>
  <si>
    <t>Industry</t>
  </si>
  <si>
    <t>Fashion Retail</t>
  </si>
  <si>
    <t>Forward P/E</t>
  </si>
  <si>
    <t>Next earnings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</si>
</sst>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9">
    <numFmt numFmtId="164" formatCode="#,##0;[Red]\(#,##0\);\–;"/>
    <numFmt numFmtId="165" formatCode="#,##0.00;[Red]\(#,##0.00\);\–"/>
    <numFmt numFmtId="166" formatCode="0.0%"/>
    <numFmt numFmtId="167" formatCode="#,##0;[Red]\(#,##0\);\–"/>
    <numFmt numFmtId="168" formatCode="&quot;Year&quot;\ 0"/>
    <numFmt numFmtId="169" formatCode="* _(#,##0.0%_);* \(#,##0.0%\);* _(&quot;-&quot;?_);_(@_)"/>
    <numFmt numFmtId="170" formatCode="#,##0;[Red]\(#,##0\);\–;@"/>
    <numFmt numFmtId="171" formatCode="#,##0;[Red]#,##0;\–;@"/>
    <numFmt numFmtId="172" formatCode="#,##0.00;[Red]#,##0.00;\–;@"/>
    <numFmt numFmtId="173" formatCode="#,##0.00%;[Red]#,##0.00%;\–;@"/>
    <numFmt numFmtId="174" formatCode="\$#,##0;[Red]\(\$#,##0\);\–;@"/>
    <numFmt numFmtId="175" formatCode="\$#,##0.00;[Red]\(\$#,##0.00\);\–;@"/>
    <numFmt numFmtId="176" formatCode="#,##0.0%;[Red]#,##0.0%;\–;@"/>
    <numFmt numFmtId="177" formatCode="mmm\-dd"/>
    <numFmt numFmtId="178" formatCode="_(* #,##0.00_);_(* \(#,##0.00\);_(* &quot;-&quot;??_);_(@_)"/>
    <numFmt numFmtId="179" formatCode="* _(#,##0.00_);* \(#,##0.00\);* _(&quot;-&quot;?_);_(@_)"/>
    <numFmt numFmtId="180" formatCode="m/d/yyyy;@"/>
    <numFmt numFmtId="181" formatCode="* _(&quot;$&quot;#,##0.00_);* \(&quot;$&quot;#,##0.00\);* _(&quot;-&quot;?_);_(@_)"/>
    <numFmt numFmtId="182" formatCode="* _(##,##0.000_);* \(##,##0.000\);* _(&quot;-&quot;?_);_(@_)"/>
    <numFmt numFmtId="183" formatCode="* _(&quot;$&quot;#,##0.0_);* \(&quot;$&quot;#,##0.0\);* _(&quot;-&quot;?_);_(@_)"/>
    <numFmt numFmtId="184" formatCode="* _(##,##0.0_);* \(##,##0.0\);* _(&quot;-&quot;?_);_(@_)"/>
    <numFmt numFmtId="185" formatCode="* _(##,##0.0_);[Red]* \(##,##0.0\);* _(&quot;-&quot;?_);_(@_)"/>
    <numFmt numFmtId="186" formatCode="_(* 0.0\x_);_(* \(0.0\x\);_(* &quot;-&quot;?_);_(@_)"/>
    <numFmt numFmtId="187" formatCode="_(* 0.0\x_);_(* \(0.0\x\);_(* &quot;-&quot;??_);_(@_)"/>
    <numFmt numFmtId="188" formatCode="* _(##,##0.000_);[Red]* \(##,##0.000\);* _(&quot;-&quot;?_);_(@_)"/>
    <numFmt numFmtId="189" formatCode="* _(#,##0.0_);* \(#,##0.0\);* _(&quot;-&quot;?_);_(@_)"/>
    <numFmt numFmtId="190" formatCode="_(* #,##0.0_);_(* \(#,##0.0\);_(* &quot;-&quot;?_);_(@_)"/>
    <numFmt numFmtId="191" formatCode="_(* #,##0.00_);_(* \(#,##0.00\);_(* &quot;-&quot;?_);_(@_)"/>
    <numFmt numFmtId="192" formatCode="dd/mm/yyyy;@"/>
    <numFmt numFmtId="193" formatCode="yyyy\A"/>
    <numFmt numFmtId="194" formatCode="0.0"/>
    <numFmt numFmtId="195" formatCode="&quot;$&quot;#,##0_);[Red]\(&quot;$&quot;#,##0\)"/>
    <numFmt numFmtId="196" formatCode="_(* #,##0.0%;_(* \(#,##0.0%\);_(* &quot;- %&quot;_);_(* @_%_)"/>
    <numFmt numFmtId="197" formatCode="* _(&quot;$&quot;##,##0_);[Red]* \(&quot;$&quot;##,##0\);* _(&quot;-&quot;?_);_(@_)"/>
    <numFmt numFmtId="198" formatCode="* _(##,##0_);[Red]* \(##,##0\);* _(&quot;-&quot;?_);_(@_)"/>
    <numFmt numFmtId="199" formatCode="#,##0.00;\(#,##0.00\);_(* &quot;-&quot;_)"/>
    <numFmt numFmtId="200" formatCode="#,##0.0_);[Red]\(#,##0.0\)"/>
    <numFmt numFmtId="201" formatCode="0.00_);[Red]\(0.00\)"/>
    <numFmt numFmtId="202" formatCode="* _(&quot;$&quot;##,##0.0_);[Red]* \(&quot;$&quot;##,##0.0\);* _(&quot;-&quot;?_);_(@_)"/>
    <numFmt numFmtId="203" formatCode="&quot;$&quot;#,##0.0_);[Red]\(&quot;$&quot;#,##0.0\)"/>
    <numFmt numFmtId="204" formatCode="#,##0;\(#,##0\);\–;"/>
    <numFmt numFmtId="205" formatCode="* _(##,##0.00_);[Red]* \(##,##0.00\);* _(&quot;-&quot;?_);_(@_)"/>
    <numFmt numFmtId="206" formatCode="* ###0.0\x"/>
    <numFmt numFmtId="207" formatCode="* _(&quot;$&quot;##,##0.00_);[Red]* \(&quot;$&quot;##,##0.00\);* _(&quot;-&quot;?_);_(@_)"/>
    <numFmt numFmtId="208" formatCode="_(* #,##0.0\x;_(* \(#,##0.0\x\);_(* &quot;- x&quot;_);_(* @_%_)"/>
    <numFmt numFmtId="209" formatCode="0.0\x"/>
    <numFmt numFmtId="210" formatCode="_(* #,##0.0%_);_(* \(#,##0.0%\);_(* &quot;--- %&quot;_);_(* @_%_)"/>
    <numFmt numFmtId="211" formatCode="0\x"/>
    <numFmt numFmtId="212" formatCode="* _(&quot;$&quot;#,##0_);* \(&quot;$&quot;#,##0\);* _(&quot;-&quot;?_);_(@_)"/>
    <numFmt numFmtId="213" formatCode="#,##0.00_);[Red]\(#,##0.00\)"/>
    <numFmt numFmtId="214" formatCode="#,##0.0%;[Red]\(#,##0.0%\);\–;@"/>
    <numFmt numFmtId="215" formatCode="#,##0_);[Red]\(#,##0\)"/>
    <numFmt numFmtId="216" formatCode="#,##0;[Red]\-#,##0;\–;@"/>
    <numFmt numFmtId="217" formatCode="#,###"/>
    <numFmt numFmtId="218" formatCode="#,###;#,###"/>
    <numFmt numFmtId="219" formatCode="0.000"/>
    <numFmt numFmtId="220" formatCode="#,##0;[Red]\(#,###\);\–;@"/>
    <numFmt numFmtId="221" formatCode="0.00000000"/>
    <numFmt numFmtId="222" formatCode="0.00000000000000"/>
  </numFmts>
  <fonts count="88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b/>
      <sz val="12"/>
      <color theme="0"/>
      <name val="Aptos Narrow"/>
      <scheme val="minor"/>
    </font>
    <font>
      <sz val="12"/>
      <color theme="1"/>
      <name val="Aptos Narrow"/>
      <scheme val="minor"/>
    </font>
    <font>
      <sz val="12"/>
      <color rgb="FF0036FF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2"/>
      <color rgb="FF000000"/>
      <name val="Aptos Narrow"/>
      <scheme val="minor"/>
    </font>
    <font>
      <sz val="12"/>
      <color rgb="FF000000"/>
      <name val="Aptos Narrow"/>
      <scheme val="minor"/>
    </font>
    <font>
      <vertAlign val="superscript"/>
      <sz val="12"/>
      <color rgb="FF000000"/>
      <name val="Aptos Narrow (Body)"/>
    </font>
    <font>
      <sz val="12"/>
      <color theme="1"/>
      <name val="Aptos Narrow (Body)"/>
    </font>
    <font>
      <vertAlign val="superscript"/>
      <sz val="12"/>
      <color theme="1"/>
      <name val="Aptos Narrow (Body)"/>
    </font>
    <font>
      <sz val="12"/>
      <color theme="1"/>
      <name val="Aptos"/>
    </font>
    <font>
      <sz val="12"/>
      <color rgb="FF000000"/>
      <name val="Aptos"/>
    </font>
    <font>
      <sz val="12"/>
      <color rgb="FF212529"/>
      <name val="Aptos"/>
    </font>
    <font>
      <b/>
      <sz val="12"/>
      <color rgb="FF000000"/>
      <name val="Aptos"/>
    </font>
    <font>
      <b/>
      <sz val="12"/>
      <color theme="0"/>
      <name val="Aptos"/>
    </font>
    <font>
      <b/>
      <sz val="12"/>
      <color rgb="FF212529"/>
      <name val="Aptos"/>
    </font>
    <font>
      <sz val="12"/>
      <color theme="0"/>
      <name val="Aptos Narrow"/>
      <scheme val="minor"/>
    </font>
    <font>
      <b/>
      <sz val="10"/>
      <name val="MS Sans Serif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0"/>
      <name val="Helvetica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name val="Times New Roman"/>
      <family val="1"/>
    </font>
    <font>
      <sz val="12"/>
      <color rgb="FF0036FF"/>
      <name val="Aptos Narrow"/>
      <scheme val="minor"/>
    </font>
    <font>
      <b/>
      <sz val="12"/>
      <color rgb="FF0036FF"/>
      <name val="Aptos Narrow"/>
      <scheme val="minor"/>
    </font>
    <font>
      <b/>
      <sz val="10"/>
      <color rgb="FFFFFFFF"/>
      <name val="Arial"/>
      <family val="2"/>
    </font>
    <font>
      <sz val="10"/>
      <color rgb="FF0000FF"/>
      <name val="Arial"/>
      <family val="2"/>
    </font>
    <font>
      <b/>
      <i/>
      <sz val="10"/>
      <name val="Arial"/>
      <family val="2"/>
    </font>
    <font>
      <b/>
      <sz val="18"/>
      <color theme="0"/>
      <name val="Aptos Narrow"/>
      <scheme val="minor"/>
    </font>
    <font>
      <b/>
      <sz val="22"/>
      <color theme="0"/>
      <name val="Aptos Narrow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6"/>
      <color rgb="FFFFFFFF"/>
      <name val="Arial"/>
      <family val="2"/>
    </font>
    <font>
      <sz val="10"/>
      <color rgb="FFFFFFFF"/>
      <name val="Arial"/>
      <family val="2"/>
    </font>
    <font>
      <b/>
      <sz val="14"/>
      <color rgb="FFFFFFFF"/>
      <name val="Arial"/>
      <family val="2"/>
    </font>
    <font>
      <i/>
      <sz val="10"/>
      <color rgb="FFFFFFFF"/>
      <name val="Arial"/>
      <family val="2"/>
    </font>
    <font>
      <b/>
      <i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CC00"/>
      <name val="Arial"/>
      <family val="2"/>
    </font>
    <font>
      <b/>
      <sz val="10"/>
      <color rgb="FF0000FF"/>
      <name val="Arial"/>
      <family val="2"/>
    </font>
    <font>
      <b/>
      <sz val="12"/>
      <color rgb="FFFFFFFF"/>
      <name val="Arial"/>
      <family val="2"/>
    </font>
    <font>
      <i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2"/>
      <color rgb="FFFFFFFF"/>
      <name val="Aptos Narrow"/>
      <scheme val="minor"/>
    </font>
    <font>
      <i/>
      <sz val="12"/>
      <color rgb="FF000000"/>
      <name val="Aptos Narrow"/>
      <scheme val="minor"/>
    </font>
    <font>
      <b/>
      <sz val="12"/>
      <name val="Aptos Narrow"/>
      <scheme val="minor"/>
    </font>
    <font>
      <sz val="12"/>
      <name val="Aptos Narrow"/>
      <scheme val="minor"/>
    </font>
    <font>
      <sz val="12"/>
      <color rgb="FF0000FF"/>
      <name val="Aptos Narrow"/>
      <scheme val="minor"/>
    </font>
    <font>
      <i/>
      <sz val="12"/>
      <name val="Aptos Narrow"/>
      <scheme val="minor"/>
    </font>
    <font>
      <sz val="12"/>
      <color rgb="FFFF0000"/>
      <name val="Aptos Narrow"/>
      <scheme val="minor"/>
    </font>
    <font>
      <b/>
      <sz val="12"/>
      <color indexed="9"/>
      <name val="Aptos Narrow"/>
      <scheme val="minor"/>
    </font>
    <font>
      <sz val="12"/>
      <color indexed="12"/>
      <name val="Aptos Narrow"/>
      <scheme val="minor"/>
    </font>
    <font>
      <sz val="12"/>
      <color rgb="FFFFCC00"/>
      <name val="Aptos Narrow"/>
      <scheme val="minor"/>
    </font>
    <font>
      <b/>
      <sz val="12"/>
      <color rgb="FF0000FF"/>
      <name val="Aptos Narrow"/>
      <scheme val="minor"/>
    </font>
    <font>
      <sz val="12"/>
      <color rgb="FFFFFFFF"/>
      <name val="Aptos Narrow"/>
      <scheme val="minor"/>
    </font>
    <font>
      <i/>
      <sz val="12"/>
      <color indexed="12"/>
      <name val="Aptos Narrow"/>
      <scheme val="minor"/>
    </font>
    <font>
      <sz val="10"/>
      <color theme="1"/>
      <name val="Arial"/>
      <family val="2"/>
    </font>
    <font>
      <b/>
      <sz val="18"/>
      <color rgb="FFFFFFFF"/>
      <name val="Arial"/>
      <family val="2"/>
    </font>
    <font>
      <sz val="12"/>
      <color rgb="FFEAFFEB"/>
      <name val="Aptos Narrow"/>
      <scheme val="minor"/>
    </font>
    <font>
      <sz val="12"/>
      <color rgb="FF0036FF"/>
      <name val="Aptos"/>
    </font>
    <font>
      <b/>
      <sz val="12"/>
      <color rgb="FF0036FF"/>
      <name val="Aptos"/>
    </font>
    <font>
      <sz val="11"/>
      <color theme="1"/>
      <name val="Calibri"/>
      <family val="2"/>
    </font>
    <font>
      <u/>
      <sz val="11"/>
      <color rgb="FF0036FF"/>
      <name val="Calibri"/>
      <family val="2"/>
    </font>
    <font>
      <b/>
      <i/>
      <sz val="12"/>
      <name val="Aptos Narrow"/>
      <scheme val="minor"/>
    </font>
    <font>
      <i/>
      <sz val="12"/>
      <color theme="0"/>
      <name val="Aptos Narrow"/>
      <scheme val="minor"/>
    </font>
    <font>
      <i/>
      <sz val="12"/>
      <name val="Arial"/>
      <family val="2"/>
    </font>
    <font>
      <i/>
      <sz val="12"/>
      <color theme="1"/>
      <name val="Aptos Narrow"/>
      <scheme val="minor"/>
    </font>
    <font>
      <b/>
      <i/>
      <sz val="12"/>
      <color theme="0"/>
      <name val="Aptos Narrow"/>
      <scheme val="minor"/>
    </font>
    <font>
      <b/>
      <sz val="22"/>
      <color theme="0"/>
      <name val="Aptos"/>
    </font>
    <font>
      <b/>
      <sz val="18"/>
      <color theme="0"/>
      <name val="Aptos"/>
    </font>
    <font>
      <b/>
      <i/>
      <sz val="12"/>
      <color theme="0"/>
      <name val="Aptos"/>
    </font>
    <font>
      <sz val="12"/>
      <color theme="0"/>
      <name val="Aptos"/>
    </font>
    <font>
      <b/>
      <sz val="10"/>
      <color theme="0"/>
      <name val="Aptos"/>
    </font>
    <font>
      <sz val="10"/>
      <color rgb="FF000000"/>
      <name val="Aptos"/>
    </font>
    <font>
      <sz val="10"/>
      <name val="Aptos"/>
    </font>
    <font>
      <sz val="10"/>
      <color theme="1"/>
      <name val="Aptos"/>
    </font>
    <font>
      <sz val="12"/>
      <color theme="0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8"/>
      <name val="Aptos Narrow"/>
      <family val="2"/>
      <scheme val="minor"/>
    </font>
    <font>
      <sz val="14"/>
      <color rgb="FF000000"/>
      <name val="Tahoma"/>
      <family val="2"/>
    </font>
    <font>
      <sz val="14"/>
      <color rgb="FF333333"/>
      <name val="Tahoma"/>
      <family val="2"/>
    </font>
    <font>
      <sz val="14"/>
      <color theme="0"/>
      <name val="Tahoma"/>
      <family val="2"/>
    </font>
    <font>
      <b/>
      <sz val="26"/>
      <color theme="1"/>
      <name val="Aptos Narrow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A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FFFF9A"/>
        <bgColor rgb="FF000000"/>
      </patternFill>
    </fill>
    <fill>
      <patternFill patternType="solid">
        <fgColor rgb="FFEAFFEB"/>
        <bgColor indexed="64"/>
      </patternFill>
    </fill>
    <fill>
      <patternFill patternType="solid">
        <fgColor rgb="FFEAFFEB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C01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BFFEB"/>
        <bgColor rgb="FF000000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theme="1"/>
      </right>
      <top/>
      <bottom/>
      <diagonal/>
    </border>
    <border>
      <left/>
      <right style="dotted">
        <color theme="1"/>
      </right>
      <top/>
      <bottom/>
      <diagonal/>
    </border>
    <border>
      <left/>
      <right style="dotted">
        <color theme="1"/>
      </right>
      <top/>
      <bottom style="thin">
        <color theme="1"/>
      </bottom>
      <diagonal/>
    </border>
    <border>
      <left/>
      <right style="dotted">
        <color auto="1"/>
      </right>
      <top/>
      <bottom/>
      <diagonal/>
    </border>
    <border>
      <left/>
      <right style="dotted">
        <color auto="1"/>
      </right>
      <top/>
      <bottom style="thin">
        <color theme="1"/>
      </bottom>
      <diagonal/>
    </border>
    <border>
      <left/>
      <right/>
      <top style="thin">
        <color indexed="1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/>
      <diagonal/>
    </border>
    <border>
      <left/>
      <right style="dotted">
        <color theme="1"/>
      </right>
      <top style="thin">
        <color indexed="64"/>
      </top>
      <bottom/>
      <diagonal/>
    </border>
    <border>
      <left/>
      <right style="dotted">
        <color auto="1"/>
      </right>
      <top/>
      <bottom style="thin">
        <color indexed="64"/>
      </bottom>
      <diagonal/>
    </border>
    <border>
      <left/>
      <right style="dotted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ashed">
        <color theme="1"/>
      </left>
      <right/>
      <top/>
      <bottom/>
      <diagonal/>
    </border>
    <border>
      <left style="dashed">
        <color theme="1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 applyFill="0" applyBorder="0" applyProtection="0">
      <protection locked="0"/>
    </xf>
    <xf numFmtId="0" fontId="23" fillId="0" borderId="0"/>
    <xf numFmtId="0" fontId="21" fillId="0" borderId="0"/>
    <xf numFmtId="0" fontId="27" fillId="0" borderId="0"/>
    <xf numFmtId="0" fontId="21" fillId="0" borderId="0"/>
    <xf numFmtId="0" fontId="27" fillId="0" borderId="0"/>
    <xf numFmtId="0" fontId="82" fillId="0" borderId="0" applyNumberFormat="0" applyFill="0" applyBorder="0" applyAlignment="0" applyProtection="0"/>
  </cellStyleXfs>
  <cellXfs count="874">
    <xf numFmtId="0" fontId="0" fillId="0" borderId="0" xfId="0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3" fillId="2" borderId="4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0" fillId="0" borderId="6" xfId="0" applyBorder="1"/>
    <xf numFmtId="0" fontId="0" fillId="0" borderId="7" xfId="0" applyBorder="1"/>
    <xf numFmtId="0" fontId="0" fillId="0" borderId="6" xfId="0" applyBorder="1" applyAlignment="1">
      <alignment horizontal="left" indent="2"/>
    </xf>
    <xf numFmtId="0" fontId="0" fillId="0" borderId="8" xfId="0" applyBorder="1" applyAlignment="1">
      <alignment horizontal="left" indent="2"/>
    </xf>
    <xf numFmtId="0" fontId="2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2" fillId="0" borderId="7" xfId="0" applyFont="1" applyBorder="1"/>
    <xf numFmtId="3" fontId="0" fillId="0" borderId="0" xfId="0" applyNumberFormat="1"/>
    <xf numFmtId="0" fontId="3" fillId="2" borderId="3" xfId="0" applyFont="1" applyFill="1" applyBorder="1"/>
    <xf numFmtId="0" fontId="4" fillId="0" borderId="0" xfId="0" applyFont="1"/>
    <xf numFmtId="0" fontId="2" fillId="0" borderId="1" xfId="0" applyFont="1" applyBorder="1"/>
    <xf numFmtId="2" fontId="0" fillId="0" borderId="0" xfId="0" applyNumberFormat="1"/>
    <xf numFmtId="2" fontId="4" fillId="0" borderId="0" xfId="0" applyNumberFormat="1" applyFont="1"/>
    <xf numFmtId="165" fontId="0" fillId="0" borderId="0" xfId="0" applyNumberFormat="1"/>
    <xf numFmtId="9" fontId="0" fillId="0" borderId="0" xfId="1" applyFont="1"/>
    <xf numFmtId="0" fontId="4" fillId="0" borderId="7" xfId="0" applyFont="1" applyBorder="1" applyAlignment="1">
      <alignment horizontal="right"/>
    </xf>
    <xf numFmtId="0" fontId="4" fillId="0" borderId="1" xfId="0" applyFont="1" applyBorder="1"/>
    <xf numFmtId="0" fontId="4" fillId="0" borderId="1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7" xfId="0" applyFont="1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0" fillId="0" borderId="0" xfId="0" applyNumberFormat="1"/>
    <xf numFmtId="9" fontId="2" fillId="0" borderId="0" xfId="1" applyFont="1"/>
    <xf numFmtId="2" fontId="2" fillId="0" borderId="0" xfId="0" applyNumberFormat="1" applyFont="1"/>
    <xf numFmtId="165" fontId="4" fillId="0" borderId="0" xfId="0" applyNumberFormat="1" applyFont="1"/>
    <xf numFmtId="2" fontId="4" fillId="0" borderId="0" xfId="0" applyNumberFormat="1" applyFont="1" applyAlignment="1">
      <alignment horizontal="center"/>
    </xf>
    <xf numFmtId="167" fontId="4" fillId="0" borderId="0" xfId="0" applyNumberFormat="1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right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right"/>
    </xf>
    <xf numFmtId="165" fontId="0" fillId="4" borderId="0" xfId="0" applyNumberFormat="1" applyFill="1"/>
    <xf numFmtId="0" fontId="2" fillId="0" borderId="13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165" fontId="0" fillId="0" borderId="15" xfId="0" applyNumberFormat="1" applyBorder="1"/>
    <xf numFmtId="0" fontId="0" fillId="0" borderId="16" xfId="0" applyBorder="1"/>
    <xf numFmtId="0" fontId="0" fillId="0" borderId="13" xfId="0" applyBorder="1"/>
    <xf numFmtId="165" fontId="0" fillId="0" borderId="13" xfId="0" applyNumberFormat="1" applyBorder="1"/>
    <xf numFmtId="0" fontId="0" fillId="0" borderId="17" xfId="0" applyBorder="1"/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166" fontId="21" fillId="0" borderId="0" xfId="1" applyNumberFormat="1" applyFont="1" applyFill="1" applyBorder="1"/>
    <xf numFmtId="168" fontId="22" fillId="0" borderId="4" xfId="3" applyNumberFormat="1" applyFont="1" applyBorder="1" applyAlignment="1" applyProtection="1">
      <alignment horizontal="center"/>
    </xf>
    <xf numFmtId="0" fontId="22" fillId="0" borderId="1" xfId="4" applyFont="1" applyBorder="1" applyAlignment="1">
      <alignment horizontal="center"/>
    </xf>
    <xf numFmtId="166" fontId="24" fillId="0" borderId="0" xfId="3" applyNumberFormat="1" applyFont="1" applyBorder="1" applyProtection="1"/>
    <xf numFmtId="0" fontId="22" fillId="0" borderId="0" xfId="3" applyFont="1" applyFill="1" applyBorder="1" applyProtection="1"/>
    <xf numFmtId="169" fontId="21" fillId="0" borderId="1" xfId="2" applyNumberFormat="1" applyFont="1" applyBorder="1"/>
    <xf numFmtId="169" fontId="25" fillId="5" borderId="3" xfId="2" applyNumberFormat="1" applyFont="1" applyFill="1" applyBorder="1"/>
    <xf numFmtId="169" fontId="25" fillId="5" borderId="4" xfId="2" applyNumberFormat="1" applyFont="1" applyFill="1" applyBorder="1"/>
    <xf numFmtId="169" fontId="21" fillId="5" borderId="4" xfId="2" applyNumberFormat="1" applyFont="1" applyFill="1" applyBorder="1"/>
    <xf numFmtId="169" fontId="21" fillId="5" borderId="5" xfId="2" applyNumberFormat="1" applyFont="1" applyFill="1" applyBorder="1"/>
    <xf numFmtId="169" fontId="25" fillId="5" borderId="6" xfId="2" applyNumberFormat="1" applyFont="1" applyFill="1" applyBorder="1"/>
    <xf numFmtId="169" fontId="25" fillId="5" borderId="0" xfId="2" applyNumberFormat="1" applyFont="1" applyFill="1" applyBorder="1"/>
    <xf numFmtId="169" fontId="21" fillId="5" borderId="0" xfId="2" applyNumberFormat="1" applyFont="1" applyFill="1" applyBorder="1"/>
    <xf numFmtId="169" fontId="21" fillId="5" borderId="7" xfId="2" applyNumberFormat="1" applyFont="1" applyFill="1" applyBorder="1"/>
    <xf numFmtId="169" fontId="25" fillId="5" borderId="8" xfId="2" applyNumberFormat="1" applyFont="1" applyFill="1" applyBorder="1"/>
    <xf numFmtId="169" fontId="25" fillId="5" borderId="1" xfId="2" applyNumberFormat="1" applyFont="1" applyFill="1" applyBorder="1"/>
    <xf numFmtId="169" fontId="21" fillId="5" borderId="1" xfId="2" applyNumberFormat="1" applyFont="1" applyFill="1" applyBorder="1"/>
    <xf numFmtId="169" fontId="21" fillId="5" borderId="9" xfId="2" applyNumberFormat="1" applyFont="1" applyFill="1" applyBorder="1"/>
    <xf numFmtId="169" fontId="21" fillId="0" borderId="19" xfId="2" applyNumberFormat="1" applyFont="1" applyBorder="1"/>
    <xf numFmtId="0" fontId="22" fillId="0" borderId="0" xfId="3" applyFont="1" applyBorder="1" applyProtection="1"/>
    <xf numFmtId="2" fontId="3" fillId="2" borderId="0" xfId="0" applyNumberFormat="1" applyFont="1" applyFill="1" applyAlignment="1">
      <alignment horizontal="center"/>
    </xf>
    <xf numFmtId="2" fontId="2" fillId="0" borderId="20" xfId="0" applyNumberFormat="1" applyFont="1" applyBorder="1"/>
    <xf numFmtId="2" fontId="2" fillId="0" borderId="22" xfId="0" applyNumberFormat="1" applyFont="1" applyBorder="1" applyAlignment="1">
      <alignment horizontal="right"/>
    </xf>
    <xf numFmtId="2" fontId="2" fillId="0" borderId="23" xfId="0" applyNumberFormat="1" applyFont="1" applyBorder="1" applyAlignment="1">
      <alignment horizontal="center"/>
    </xf>
    <xf numFmtId="2" fontId="3" fillId="2" borderId="0" xfId="0" applyNumberFormat="1" applyFont="1" applyFill="1"/>
    <xf numFmtId="2" fontId="4" fillId="0" borderId="20" xfId="0" applyNumberFormat="1" applyFont="1" applyBorder="1"/>
    <xf numFmtId="174" fontId="2" fillId="0" borderId="23" xfId="0" applyNumberFormat="1" applyFont="1" applyBorder="1"/>
    <xf numFmtId="2" fontId="2" fillId="0" borderId="21" xfId="0" applyNumberFormat="1" applyFont="1" applyBorder="1"/>
    <xf numFmtId="170" fontId="28" fillId="7" borderId="13" xfId="0" applyNumberFormat="1" applyFont="1" applyFill="1" applyBorder="1"/>
    <xf numFmtId="174" fontId="29" fillId="7" borderId="0" xfId="0" applyNumberFormat="1" applyFont="1" applyFill="1"/>
    <xf numFmtId="171" fontId="28" fillId="7" borderId="13" xfId="0" applyNumberFormat="1" applyFont="1" applyFill="1" applyBorder="1"/>
    <xf numFmtId="171" fontId="28" fillId="7" borderId="0" xfId="0" applyNumberFormat="1" applyFont="1" applyFill="1"/>
    <xf numFmtId="174" fontId="29" fillId="7" borderId="13" xfId="0" applyNumberFormat="1" applyFont="1" applyFill="1" applyBorder="1"/>
    <xf numFmtId="174" fontId="28" fillId="7" borderId="0" xfId="0" applyNumberFormat="1" applyFont="1" applyFill="1"/>
    <xf numFmtId="2" fontId="2" fillId="0" borderId="20" xfId="0" applyNumberFormat="1" applyFont="1" applyBorder="1" applyAlignment="1">
      <alignment horizontal="right"/>
    </xf>
    <xf numFmtId="166" fontId="24" fillId="0" borderId="0" xfId="2" applyNumberFormat="1" applyFont="1" applyBorder="1"/>
    <xf numFmtId="0" fontId="32" fillId="0" borderId="0" xfId="2" applyFont="1" applyFill="1" applyBorder="1"/>
    <xf numFmtId="0" fontId="21" fillId="0" borderId="0" xfId="2" applyFont="1" applyBorder="1"/>
    <xf numFmtId="185" fontId="25" fillId="5" borderId="3" xfId="2" applyNumberFormat="1" applyFont="1" applyFill="1" applyBorder="1"/>
    <xf numFmtId="185" fontId="25" fillId="5" borderId="4" xfId="2" applyNumberFormat="1" applyFont="1" applyFill="1" applyBorder="1"/>
    <xf numFmtId="185" fontId="21" fillId="5" borderId="4" xfId="2" applyNumberFormat="1" applyFont="1" applyFill="1" applyBorder="1"/>
    <xf numFmtId="185" fontId="21" fillId="5" borderId="5" xfId="2" applyNumberFormat="1" applyFont="1" applyFill="1" applyBorder="1"/>
    <xf numFmtId="185" fontId="25" fillId="5" borderId="6" xfId="2" applyNumberFormat="1" applyFont="1" applyFill="1" applyBorder="1"/>
    <xf numFmtId="185" fontId="25" fillId="5" borderId="0" xfId="2" applyNumberFormat="1" applyFont="1" applyFill="1" applyBorder="1"/>
    <xf numFmtId="185" fontId="21" fillId="5" borderId="0" xfId="2" applyNumberFormat="1" applyFont="1" applyFill="1" applyBorder="1"/>
    <xf numFmtId="185" fontId="21" fillId="5" borderId="7" xfId="2" applyNumberFormat="1" applyFont="1" applyFill="1" applyBorder="1"/>
    <xf numFmtId="185" fontId="25" fillId="5" borderId="8" xfId="2" applyNumberFormat="1" applyFont="1" applyFill="1" applyBorder="1"/>
    <xf numFmtId="185" fontId="25" fillId="5" borderId="1" xfId="2" applyNumberFormat="1" applyFont="1" applyFill="1" applyBorder="1"/>
    <xf numFmtId="185" fontId="21" fillId="5" borderId="1" xfId="2" applyNumberFormat="1" applyFont="1" applyFill="1" applyBorder="1"/>
    <xf numFmtId="185" fontId="21" fillId="5" borderId="9" xfId="2" applyNumberFormat="1" applyFont="1" applyFill="1" applyBorder="1"/>
    <xf numFmtId="185" fontId="24" fillId="0" borderId="0" xfId="2" applyNumberFormat="1" applyFont="1" applyBorder="1"/>
    <xf numFmtId="0" fontId="32" fillId="0" borderId="0" xfId="2" applyFont="1" applyBorder="1"/>
    <xf numFmtId="169" fontId="24" fillId="0" borderId="0" xfId="2" applyNumberFormat="1" applyFont="1" applyBorder="1"/>
    <xf numFmtId="0" fontId="20" fillId="2" borderId="18" xfId="2" applyFont="1" applyFill="1" applyBorder="1" applyAlignment="1"/>
    <xf numFmtId="0" fontId="20" fillId="2" borderId="18" xfId="2" applyFont="1" applyFill="1" applyBorder="1" applyAlignment="1">
      <alignment horizontal="center"/>
    </xf>
    <xf numFmtId="166" fontId="24" fillId="0" borderId="13" xfId="3" applyNumberFormat="1" applyFont="1" applyFill="1" applyBorder="1" applyProtection="1"/>
    <xf numFmtId="0" fontId="30" fillId="8" borderId="0" xfId="0" applyFont="1" applyFill="1" applyAlignment="1">
      <alignment horizontal="left"/>
    </xf>
    <xf numFmtId="182" fontId="31" fillId="9" borderId="0" xfId="0" applyNumberFormat="1" applyFont="1" applyFill="1"/>
    <xf numFmtId="181" fontId="31" fillId="9" borderId="0" xfId="0" applyNumberFormat="1" applyFont="1" applyFill="1"/>
    <xf numFmtId="179" fontId="31" fillId="9" borderId="0" xfId="0" applyNumberFormat="1" applyFont="1" applyFill="1"/>
    <xf numFmtId="182" fontId="31" fillId="9" borderId="1" xfId="0" applyNumberFormat="1" applyFont="1" applyFill="1" applyBorder="1"/>
    <xf numFmtId="179" fontId="31" fillId="9" borderId="1" xfId="0" applyNumberFormat="1" applyFont="1" applyFill="1" applyBorder="1"/>
    <xf numFmtId="183" fontId="31" fillId="9" borderId="0" xfId="0" applyNumberFormat="1" applyFont="1" applyFill="1"/>
    <xf numFmtId="189" fontId="31" fillId="9" borderId="0" xfId="0" applyNumberFormat="1" applyFont="1" applyFill="1"/>
    <xf numFmtId="189" fontId="31" fillId="9" borderId="1" xfId="0" applyNumberFormat="1" applyFont="1" applyFill="1" applyBorder="1"/>
    <xf numFmtId="2" fontId="3" fillId="10" borderId="0" xfId="0" applyNumberFormat="1" applyFont="1" applyFill="1"/>
    <xf numFmtId="2" fontId="2" fillId="10" borderId="0" xfId="0" applyNumberFormat="1" applyFont="1" applyFill="1"/>
    <xf numFmtId="2" fontId="2" fillId="10" borderId="0" xfId="0" applyNumberFormat="1" applyFont="1" applyFill="1" applyAlignment="1">
      <alignment horizontal="left"/>
    </xf>
    <xf numFmtId="2" fontId="4" fillId="10" borderId="0" xfId="0" applyNumberFormat="1" applyFont="1" applyFill="1"/>
    <xf numFmtId="2" fontId="2" fillId="10" borderId="0" xfId="0" applyNumberFormat="1" applyFont="1" applyFill="1" applyAlignment="1">
      <alignment horizontal="left" indent="2"/>
    </xf>
    <xf numFmtId="174" fontId="4" fillId="10" borderId="13" xfId="0" applyNumberFormat="1" applyFont="1" applyFill="1" applyBorder="1"/>
    <xf numFmtId="174" fontId="2" fillId="10" borderId="0" xfId="0" applyNumberFormat="1" applyFont="1" applyFill="1"/>
    <xf numFmtId="174" fontId="4" fillId="10" borderId="0" xfId="0" applyNumberFormat="1" applyFont="1" applyFill="1"/>
    <xf numFmtId="2" fontId="2" fillId="10" borderId="13" xfId="0" applyNumberFormat="1" applyFont="1" applyFill="1" applyBorder="1" applyAlignment="1">
      <alignment horizontal="right"/>
    </xf>
    <xf numFmtId="174" fontId="2" fillId="10" borderId="0" xfId="0" applyNumberFormat="1" applyFont="1" applyFill="1" applyAlignment="1">
      <alignment horizontal="right"/>
    </xf>
    <xf numFmtId="0" fontId="22" fillId="11" borderId="0" xfId="0" applyFont="1" applyFill="1"/>
    <xf numFmtId="190" fontId="21" fillId="11" borderId="0" xfId="0" applyNumberFormat="1" applyFont="1" applyFill="1"/>
    <xf numFmtId="191" fontId="21" fillId="11" borderId="0" xfId="0" applyNumberFormat="1" applyFont="1" applyFill="1"/>
    <xf numFmtId="182" fontId="22" fillId="11" borderId="0" xfId="0" applyNumberFormat="1" applyFont="1" applyFill="1"/>
    <xf numFmtId="189" fontId="21" fillId="11" borderId="0" xfId="0" applyNumberFormat="1" applyFont="1" applyFill="1"/>
    <xf numFmtId="189" fontId="21" fillId="11" borderId="1" xfId="0" applyNumberFormat="1" applyFont="1" applyFill="1" applyBorder="1"/>
    <xf numFmtId="0" fontId="21" fillId="11" borderId="0" xfId="0" applyFont="1" applyFill="1"/>
    <xf numFmtId="190" fontId="22" fillId="11" borderId="0" xfId="0" applyNumberFormat="1" applyFont="1" applyFill="1"/>
    <xf numFmtId="183" fontId="22" fillId="11" borderId="0" xfId="0" applyNumberFormat="1" applyFont="1" applyFill="1"/>
    <xf numFmtId="0" fontId="22" fillId="11" borderId="1" xfId="0" applyFont="1" applyFill="1" applyBorder="1" applyAlignment="1">
      <alignment horizontal="left"/>
    </xf>
    <xf numFmtId="0" fontId="22" fillId="11" borderId="0" xfId="0" applyFont="1" applyFill="1" applyAlignment="1">
      <alignment horizontal="center"/>
    </xf>
    <xf numFmtId="14" fontId="22" fillId="11" borderId="1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"/>
    </xf>
    <xf numFmtId="182" fontId="21" fillId="11" borderId="1" xfId="0" applyNumberFormat="1" applyFont="1" applyFill="1" applyBorder="1"/>
    <xf numFmtId="182" fontId="21" fillId="11" borderId="0" xfId="0" applyNumberFormat="1" applyFont="1" applyFill="1"/>
    <xf numFmtId="188" fontId="21" fillId="11" borderId="1" xfId="0" applyNumberFormat="1" applyFont="1" applyFill="1" applyBorder="1"/>
    <xf numFmtId="0" fontId="0" fillId="12" borderId="0" xfId="0" applyFill="1"/>
    <xf numFmtId="193" fontId="2" fillId="10" borderId="13" xfId="0" applyNumberFormat="1" applyFont="1" applyFill="1" applyBorder="1" applyAlignment="1">
      <alignment horizontal="right"/>
    </xf>
    <xf numFmtId="2" fontId="2" fillId="2" borderId="0" xfId="0" applyNumberFormat="1" applyFont="1" applyFill="1"/>
    <xf numFmtId="2" fontId="34" fillId="2" borderId="0" xfId="0" applyNumberFormat="1" applyFont="1" applyFill="1"/>
    <xf numFmtId="166" fontId="21" fillId="0" borderId="19" xfId="1" applyNumberFormat="1" applyFont="1" applyBorder="1"/>
    <xf numFmtId="194" fontId="21" fillId="0" borderId="19" xfId="2" applyNumberFormat="1" applyFont="1" applyBorder="1"/>
    <xf numFmtId="0" fontId="22" fillId="0" borderId="0" xfId="2" applyFont="1"/>
    <xf numFmtId="0" fontId="21" fillId="0" borderId="0" xfId="3" applyProtection="1"/>
    <xf numFmtId="0" fontId="35" fillId="0" borderId="0" xfId="0" applyFont="1"/>
    <xf numFmtId="0" fontId="35" fillId="0" borderId="0" xfId="3" applyFont="1" applyAlignment="1" applyProtection="1">
      <alignment horizontal="center"/>
    </xf>
    <xf numFmtId="0" fontId="22" fillId="0" borderId="0" xfId="2" applyFont="1" applyBorder="1"/>
    <xf numFmtId="0" fontId="22" fillId="0" borderId="0" xfId="2" applyFont="1" applyBorder="1" applyAlignment="1">
      <alignment horizontal="center"/>
    </xf>
    <xf numFmtId="0" fontId="22" fillId="0" borderId="0" xfId="2" applyFont="1" applyFill="1"/>
    <xf numFmtId="0" fontId="21" fillId="0" borderId="0" xfId="3" applyFill="1" applyProtection="1"/>
    <xf numFmtId="0" fontId="22" fillId="0" borderId="0" xfId="2" applyFont="1" applyFill="1" applyBorder="1"/>
    <xf numFmtId="0" fontId="22" fillId="0" borderId="0" xfId="2" applyFont="1" applyFill="1" applyBorder="1" applyAlignment="1">
      <alignment horizontal="center"/>
    </xf>
    <xf numFmtId="0" fontId="21" fillId="0" borderId="0" xfId="2" applyFont="1" applyBorder="1" applyAlignment="1">
      <alignment horizontal="center"/>
    </xf>
    <xf numFmtId="0" fontId="21" fillId="0" borderId="0" xfId="3" applyBorder="1" applyProtection="1"/>
    <xf numFmtId="0" fontId="21" fillId="0" borderId="0" xfId="3" applyBorder="1" applyAlignment="1" applyProtection="1">
      <alignment horizontal="center"/>
    </xf>
    <xf numFmtId="0" fontId="21" fillId="0" borderId="0" xfId="3" applyFill="1" applyBorder="1" applyProtection="1"/>
    <xf numFmtId="0" fontId="21" fillId="0" borderId="0" xfId="3" applyFill="1" applyBorder="1" applyAlignment="1" applyProtection="1">
      <alignment horizontal="center"/>
    </xf>
    <xf numFmtId="0" fontId="21" fillId="0" borderId="13" xfId="3" applyFill="1" applyBorder="1" applyProtection="1"/>
    <xf numFmtId="166" fontId="21" fillId="0" borderId="19" xfId="3" applyNumberFormat="1" applyBorder="1" applyProtection="1"/>
    <xf numFmtId="166" fontId="21" fillId="0" borderId="4" xfId="3" applyNumberFormat="1" applyFill="1" applyBorder="1" applyProtection="1"/>
    <xf numFmtId="0" fontId="21" fillId="0" borderId="0" xfId="5"/>
    <xf numFmtId="0" fontId="21" fillId="0" borderId="7" xfId="3" applyBorder="1" applyAlignment="1" applyProtection="1">
      <alignment horizontal="center"/>
    </xf>
    <xf numFmtId="166" fontId="21" fillId="0" borderId="0" xfId="3" applyNumberFormat="1" applyFill="1" applyBorder="1" applyProtection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12" borderId="0" xfId="0" applyFill="1" applyAlignment="1">
      <alignment horizontal="right"/>
    </xf>
    <xf numFmtId="0" fontId="36" fillId="0" borderId="0" xfId="0" applyFont="1"/>
    <xf numFmtId="0" fontId="38" fillId="0" borderId="0" xfId="0" applyFont="1"/>
    <xf numFmtId="0" fontId="21" fillId="0" borderId="0" xfId="0" applyFont="1"/>
    <xf numFmtId="0" fontId="41" fillId="0" borderId="0" xfId="0" applyFont="1"/>
    <xf numFmtId="166" fontId="31" fillId="14" borderId="0" xfId="0" applyNumberFormat="1" applyFont="1" applyFill="1"/>
    <xf numFmtId="166" fontId="21" fillId="0" borderId="0" xfId="0" applyNumberFormat="1" applyFont="1"/>
    <xf numFmtId="40" fontId="31" fillId="14" borderId="0" xfId="0" applyNumberFormat="1" applyFont="1" applyFill="1"/>
    <xf numFmtId="195" fontId="31" fillId="14" borderId="0" xfId="0" applyNumberFormat="1" applyFont="1" applyFill="1" applyAlignment="1">
      <alignment horizontal="right"/>
    </xf>
    <xf numFmtId="9" fontId="31" fillId="14" borderId="0" xfId="0" applyNumberFormat="1" applyFont="1" applyFill="1"/>
    <xf numFmtId="197" fontId="21" fillId="0" borderId="0" xfId="0" applyNumberFormat="1" applyFont="1" applyAlignment="1">
      <alignment horizontal="right"/>
    </xf>
    <xf numFmtId="38" fontId="31" fillId="14" borderId="0" xfId="0" applyNumberFormat="1" applyFont="1" applyFill="1" applyAlignment="1">
      <alignment horizontal="right"/>
    </xf>
    <xf numFmtId="198" fontId="21" fillId="0" borderId="0" xfId="0" applyNumberFormat="1" applyFont="1"/>
    <xf numFmtId="0" fontId="42" fillId="0" borderId="0" xfId="0" applyFont="1"/>
    <xf numFmtId="166" fontId="22" fillId="15" borderId="26" xfId="0" applyNumberFormat="1" applyFont="1" applyFill="1" applyBorder="1"/>
    <xf numFmtId="40" fontId="36" fillId="0" borderId="0" xfId="0" applyNumberFormat="1" applyFont="1"/>
    <xf numFmtId="166" fontId="36" fillId="0" borderId="0" xfId="0" applyNumberFormat="1" applyFont="1"/>
    <xf numFmtId="201" fontId="22" fillId="15" borderId="31" xfId="0" applyNumberFormat="1" applyFont="1" applyFill="1" applyBorder="1"/>
    <xf numFmtId="201" fontId="22" fillId="0" borderId="0" xfId="0" applyNumberFormat="1" applyFont="1"/>
    <xf numFmtId="2" fontId="33" fillId="2" borderId="0" xfId="0" applyNumberFormat="1" applyFont="1" applyFill="1" applyAlignment="1">
      <alignment vertical="top"/>
    </xf>
    <xf numFmtId="0" fontId="37" fillId="8" borderId="0" xfId="0" applyFont="1" applyFill="1"/>
    <xf numFmtId="0" fontId="38" fillId="8" borderId="0" xfId="0" applyFont="1" applyFill="1"/>
    <xf numFmtId="0" fontId="39" fillId="8" borderId="0" xfId="0" applyFont="1" applyFill="1"/>
    <xf numFmtId="0" fontId="40" fillId="8" borderId="0" xfId="0" applyFont="1" applyFill="1"/>
    <xf numFmtId="0" fontId="30" fillId="8" borderId="0" xfId="0" applyFont="1" applyFill="1"/>
    <xf numFmtId="0" fontId="22" fillId="8" borderId="0" xfId="0" applyFont="1" applyFill="1"/>
    <xf numFmtId="0" fontId="42" fillId="15" borderId="3" xfId="0" applyFont="1" applyFill="1" applyBorder="1"/>
    <xf numFmtId="40" fontId="42" fillId="15" borderId="4" xfId="0" applyNumberFormat="1" applyFont="1" applyFill="1" applyBorder="1"/>
    <xf numFmtId="0" fontId="36" fillId="15" borderId="4" xfId="0" applyFont="1" applyFill="1" applyBorder="1"/>
    <xf numFmtId="40" fontId="42" fillId="15" borderId="5" xfId="0" applyNumberFormat="1" applyFont="1" applyFill="1" applyBorder="1"/>
    <xf numFmtId="0" fontId="42" fillId="15" borderId="8" xfId="0" applyFont="1" applyFill="1" applyBorder="1"/>
    <xf numFmtId="40" fontId="42" fillId="15" borderId="1" xfId="0" applyNumberFormat="1" applyFont="1" applyFill="1" applyBorder="1"/>
    <xf numFmtId="0" fontId="36" fillId="15" borderId="1" xfId="0" applyFont="1" applyFill="1" applyBorder="1"/>
    <xf numFmtId="40" fontId="42" fillId="15" borderId="9" xfId="0" applyNumberFormat="1" applyFont="1" applyFill="1" applyBorder="1"/>
    <xf numFmtId="0" fontId="21" fillId="0" borderId="0" xfId="0" applyFont="1" applyAlignment="1">
      <alignment horizontal="center"/>
    </xf>
    <xf numFmtId="190" fontId="36" fillId="0" borderId="0" xfId="0" applyNumberFormat="1" applyFont="1"/>
    <xf numFmtId="0" fontId="36" fillId="0" borderId="0" xfId="0" applyFont="1" applyAlignment="1">
      <alignment horizontal="left"/>
    </xf>
    <xf numFmtId="203" fontId="42" fillId="0" borderId="0" xfId="0" applyNumberFormat="1" applyFont="1"/>
    <xf numFmtId="0" fontId="36" fillId="0" borderId="0" xfId="0" applyFont="1" applyAlignment="1">
      <alignment horizontal="right"/>
    </xf>
    <xf numFmtId="0" fontId="38" fillId="8" borderId="0" xfId="0" applyFont="1" applyFill="1" applyAlignment="1">
      <alignment horizontal="center"/>
    </xf>
    <xf numFmtId="0" fontId="45" fillId="8" borderId="0" xfId="0" applyFont="1" applyFill="1"/>
    <xf numFmtId="203" fontId="47" fillId="8" borderId="0" xfId="0" applyNumberFormat="1" applyFont="1" applyFill="1"/>
    <xf numFmtId="2" fontId="3" fillId="2" borderId="0" xfId="0" applyNumberFormat="1" applyFont="1" applyFill="1" applyAlignment="1">
      <alignment horizontal="left" indent="2"/>
    </xf>
    <xf numFmtId="2" fontId="18" fillId="2" borderId="0" xfId="0" applyNumberFormat="1" applyFont="1" applyFill="1"/>
    <xf numFmtId="171" fontId="18" fillId="2" borderId="0" xfId="0" applyNumberFormat="1" applyFont="1" applyFill="1"/>
    <xf numFmtId="2" fontId="18" fillId="2" borderId="20" xfId="0" applyNumberFormat="1" applyFont="1" applyFill="1" applyBorder="1"/>
    <xf numFmtId="174" fontId="3" fillId="2" borderId="0" xfId="0" applyNumberFormat="1" applyFont="1" applyFill="1"/>
    <xf numFmtId="2" fontId="2" fillId="0" borderId="24" xfId="0" applyNumberFormat="1" applyFont="1" applyBorder="1" applyAlignment="1">
      <alignment horizontal="center"/>
    </xf>
    <xf numFmtId="2" fontId="18" fillId="0" borderId="23" xfId="0" applyNumberFormat="1" applyFont="1" applyBorder="1"/>
    <xf numFmtId="173" fontId="4" fillId="0" borderId="23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0" fontId="0" fillId="12" borderId="0" xfId="1" applyNumberFormat="1" applyFont="1" applyFill="1"/>
    <xf numFmtId="10" fontId="22" fillId="15" borderId="26" xfId="0" applyNumberFormat="1" applyFont="1" applyFill="1" applyBorder="1"/>
    <xf numFmtId="0" fontId="18" fillId="2" borderId="0" xfId="0" applyFont="1" applyFill="1" applyAlignment="1">
      <alignment horizontal="center"/>
    </xf>
    <xf numFmtId="0" fontId="18" fillId="2" borderId="0" xfId="0" applyFont="1" applyFill="1"/>
    <xf numFmtId="9" fontId="4" fillId="2" borderId="0" xfId="1" applyFont="1" applyFill="1"/>
    <xf numFmtId="9" fontId="2" fillId="2" borderId="0" xfId="1" applyFont="1" applyFill="1"/>
    <xf numFmtId="2" fontId="2" fillId="2" borderId="0" xfId="0" applyNumberFormat="1" applyFont="1" applyFill="1" applyAlignment="1">
      <alignment horizontal="center"/>
    </xf>
    <xf numFmtId="2" fontId="2" fillId="2" borderId="12" xfId="0" applyNumberFormat="1" applyFont="1" applyFill="1" applyBorder="1" applyAlignment="1">
      <alignment horizontal="center"/>
    </xf>
    <xf numFmtId="0" fontId="0" fillId="2" borderId="0" xfId="0" applyFill="1"/>
    <xf numFmtId="0" fontId="0" fillId="2" borderId="12" xfId="0" applyFill="1" applyBorder="1"/>
    <xf numFmtId="0" fontId="33" fillId="2" borderId="0" xfId="0" applyFont="1" applyFill="1"/>
    <xf numFmtId="0" fontId="34" fillId="2" borderId="0" xfId="0" applyFont="1" applyFill="1"/>
    <xf numFmtId="0" fontId="47" fillId="8" borderId="0" xfId="0" applyFont="1" applyFill="1" applyAlignment="1">
      <alignment horizontal="center"/>
    </xf>
    <xf numFmtId="204" fontId="47" fillId="8" borderId="0" xfId="0" applyNumberFormat="1" applyFont="1" applyFill="1"/>
    <xf numFmtId="0" fontId="36" fillId="0" borderId="23" xfId="0" applyFont="1" applyBorder="1"/>
    <xf numFmtId="166" fontId="36" fillId="7" borderId="0" xfId="0" applyNumberFormat="1" applyFont="1" applyFill="1"/>
    <xf numFmtId="0" fontId="7" fillId="0" borderId="0" xfId="0" applyFont="1"/>
    <xf numFmtId="0" fontId="8" fillId="0" borderId="0" xfId="0" applyFont="1"/>
    <xf numFmtId="206" fontId="52" fillId="14" borderId="1" xfId="0" applyNumberFormat="1" applyFont="1" applyFill="1" applyBorder="1"/>
    <xf numFmtId="190" fontId="54" fillId="14" borderId="0" xfId="0" applyNumberFormat="1" applyFont="1" applyFill="1"/>
    <xf numFmtId="2" fontId="8" fillId="0" borderId="0" xfId="0" applyNumberFormat="1" applyFont="1"/>
    <xf numFmtId="166" fontId="51" fillId="0" borderId="0" xfId="0" applyNumberFormat="1" applyFont="1" applyAlignment="1">
      <alignment horizontal="right"/>
    </xf>
    <xf numFmtId="196" fontId="50" fillId="15" borderId="26" xfId="0" applyNumberFormat="1" applyFont="1" applyFill="1" applyBorder="1" applyAlignment="1">
      <alignment horizontal="right" vertical="distributed"/>
    </xf>
    <xf numFmtId="166" fontId="4" fillId="0" borderId="0" xfId="1" applyNumberFormat="1" applyFont="1"/>
    <xf numFmtId="195" fontId="50" fillId="15" borderId="26" xfId="0" applyNumberFormat="1" applyFont="1" applyFill="1" applyBorder="1"/>
    <xf numFmtId="195" fontId="52" fillId="14" borderId="1" xfId="0" applyNumberFormat="1" applyFont="1" applyFill="1" applyBorder="1"/>
    <xf numFmtId="195" fontId="54" fillId="14" borderId="0" xfId="0" applyNumberFormat="1" applyFont="1" applyFill="1"/>
    <xf numFmtId="211" fontId="52" fillId="14" borderId="0" xfId="0" applyNumberFormat="1" applyFont="1" applyFill="1"/>
    <xf numFmtId="2" fontId="4" fillId="2" borderId="0" xfId="0" applyNumberFormat="1" applyFont="1" applyFill="1"/>
    <xf numFmtId="1" fontId="4" fillId="7" borderId="0" xfId="0" applyNumberFormat="1" applyFont="1" applyFill="1" applyAlignment="1">
      <alignment horizontal="center"/>
    </xf>
    <xf numFmtId="2" fontId="4" fillId="7" borderId="0" xfId="0" applyNumberFormat="1" applyFont="1" applyFill="1" applyAlignment="1">
      <alignment horizontal="center"/>
    </xf>
    <xf numFmtId="2" fontId="4" fillId="0" borderId="21" xfId="0" applyNumberFormat="1" applyFont="1" applyBorder="1"/>
    <xf numFmtId="2" fontId="8" fillId="10" borderId="0" xfId="0" applyNumberFormat="1" applyFont="1" applyFill="1"/>
    <xf numFmtId="2" fontId="8" fillId="10" borderId="0" xfId="0" applyNumberFormat="1" applyFont="1" applyFill="1" applyAlignment="1">
      <alignment horizontal="right"/>
    </xf>
    <xf numFmtId="2" fontId="4" fillId="10" borderId="0" xfId="0" applyNumberFormat="1" applyFont="1" applyFill="1" applyAlignment="1">
      <alignment horizontal="right"/>
    </xf>
    <xf numFmtId="2" fontId="4" fillId="0" borderId="23" xfId="0" applyNumberFormat="1" applyFont="1" applyBorder="1" applyAlignment="1">
      <alignment horizontal="right"/>
    </xf>
    <xf numFmtId="2" fontId="4" fillId="0" borderId="21" xfId="0" applyNumberFormat="1" applyFont="1" applyBorder="1" applyAlignment="1">
      <alignment horizontal="right"/>
    </xf>
    <xf numFmtId="2" fontId="4" fillId="0" borderId="23" xfId="0" applyNumberFormat="1" applyFont="1" applyBorder="1"/>
    <xf numFmtId="2" fontId="4" fillId="10" borderId="0" xfId="0" applyNumberFormat="1" applyFont="1" applyFill="1" applyAlignment="1">
      <alignment horizontal="left"/>
    </xf>
    <xf numFmtId="2" fontId="4" fillId="10" borderId="0" xfId="0" applyNumberFormat="1" applyFont="1" applyFill="1" applyAlignment="1">
      <alignment horizontal="left" indent="2"/>
    </xf>
    <xf numFmtId="176" fontId="4" fillId="10" borderId="0" xfId="0" applyNumberFormat="1" applyFont="1" applyFill="1" applyAlignment="1">
      <alignment horizontal="right"/>
    </xf>
    <xf numFmtId="176" fontId="4" fillId="10" borderId="0" xfId="1" applyNumberFormat="1" applyFont="1" applyFill="1" applyBorder="1"/>
    <xf numFmtId="2" fontId="4" fillId="0" borderId="23" xfId="0" applyNumberFormat="1" applyFont="1" applyBorder="1" applyAlignment="1">
      <alignment horizontal="center"/>
    </xf>
    <xf numFmtId="176" fontId="4" fillId="10" borderId="0" xfId="1" applyNumberFormat="1" applyFont="1" applyFill="1" applyBorder="1" applyAlignment="1">
      <alignment horizontal="right" indent="1"/>
    </xf>
    <xf numFmtId="176" fontId="4" fillId="10" borderId="0" xfId="1" applyNumberFormat="1" applyFont="1" applyFill="1" applyBorder="1" applyAlignment="1">
      <alignment horizontal="right"/>
    </xf>
    <xf numFmtId="166" fontId="4" fillId="10" borderId="0" xfId="1" applyNumberFormat="1" applyFont="1" applyFill="1"/>
    <xf numFmtId="170" fontId="4" fillId="10" borderId="0" xfId="0" applyNumberFormat="1" applyFont="1" applyFill="1"/>
    <xf numFmtId="171" fontId="4" fillId="10" borderId="13" xfId="0" applyNumberFormat="1" applyFont="1" applyFill="1" applyBorder="1"/>
    <xf numFmtId="176" fontId="4" fillId="10" borderId="0" xfId="0" applyNumberFormat="1" applyFont="1" applyFill="1"/>
    <xf numFmtId="1" fontId="4" fillId="10" borderId="0" xfId="0" applyNumberFormat="1" applyFont="1" applyFill="1" applyAlignment="1">
      <alignment horizontal="left"/>
    </xf>
    <xf numFmtId="1" fontId="4" fillId="0" borderId="0" xfId="0" applyNumberFormat="1" applyFont="1"/>
    <xf numFmtId="172" fontId="4" fillId="10" borderId="0" xfId="0" applyNumberFormat="1" applyFont="1" applyFill="1"/>
    <xf numFmtId="1" fontId="4" fillId="10" borderId="0" xfId="0" applyNumberFormat="1" applyFont="1" applyFill="1"/>
    <xf numFmtId="171" fontId="4" fillId="10" borderId="0" xfId="0" applyNumberFormat="1" applyFont="1" applyFill="1"/>
    <xf numFmtId="171" fontId="4" fillId="10" borderId="34" xfId="0" applyNumberFormat="1" applyFont="1" applyFill="1" applyBorder="1"/>
    <xf numFmtId="176" fontId="4" fillId="10" borderId="13" xfId="0" applyNumberFormat="1" applyFont="1" applyFill="1" applyBorder="1"/>
    <xf numFmtId="9" fontId="4" fillId="10" borderId="35" xfId="1" applyFont="1" applyFill="1" applyBorder="1"/>
    <xf numFmtId="9" fontId="4" fillId="10" borderId="1" xfId="1" applyFont="1" applyFill="1" applyBorder="1"/>
    <xf numFmtId="10" fontId="4" fillId="0" borderId="0" xfId="0" applyNumberFormat="1" applyFont="1"/>
    <xf numFmtId="175" fontId="4" fillId="10" borderId="0" xfId="0" applyNumberFormat="1" applyFont="1" applyFill="1"/>
    <xf numFmtId="171" fontId="4" fillId="0" borderId="0" xfId="0" applyNumberFormat="1" applyFont="1"/>
    <xf numFmtId="171" fontId="4" fillId="10" borderId="35" xfId="0" applyNumberFormat="1" applyFont="1" applyFill="1" applyBorder="1"/>
    <xf numFmtId="171" fontId="4" fillId="10" borderId="1" xfId="0" applyNumberFormat="1" applyFont="1" applyFill="1" applyBorder="1"/>
    <xf numFmtId="194" fontId="4" fillId="10" borderId="0" xfId="0" applyNumberFormat="1" applyFont="1" applyFill="1"/>
    <xf numFmtId="0" fontId="4" fillId="0" borderId="23" xfId="0" applyFont="1" applyBorder="1"/>
    <xf numFmtId="171" fontId="4" fillId="0" borderId="23" xfId="0" applyNumberFormat="1" applyFont="1" applyBorder="1"/>
    <xf numFmtId="2" fontId="4" fillId="0" borderId="0" xfId="0" applyNumberFormat="1" applyFont="1" applyAlignment="1">
      <alignment vertical="center"/>
    </xf>
    <xf numFmtId="2" fontId="4" fillId="0" borderId="0" xfId="1" applyNumberFormat="1" applyFont="1" applyBorder="1"/>
    <xf numFmtId="2" fontId="4" fillId="6" borderId="4" xfId="0" applyNumberFormat="1" applyFont="1" applyFill="1" applyBorder="1"/>
    <xf numFmtId="176" fontId="4" fillId="6" borderId="4" xfId="1" applyNumberFormat="1" applyFont="1" applyFill="1" applyBorder="1" applyAlignment="1">
      <alignment horizontal="right"/>
    </xf>
    <xf numFmtId="176" fontId="4" fillId="6" borderId="27" xfId="1" applyNumberFormat="1" applyFont="1" applyFill="1" applyBorder="1" applyAlignment="1">
      <alignment horizontal="right"/>
    </xf>
    <xf numFmtId="2" fontId="4" fillId="6" borderId="28" xfId="1" applyNumberFormat="1" applyFont="1" applyFill="1" applyBorder="1"/>
    <xf numFmtId="166" fontId="4" fillId="6" borderId="4" xfId="1" applyNumberFormat="1" applyFont="1" applyFill="1" applyBorder="1"/>
    <xf numFmtId="166" fontId="4" fillId="6" borderId="5" xfId="1" applyNumberFormat="1" applyFont="1" applyFill="1" applyBorder="1"/>
    <xf numFmtId="2" fontId="4" fillId="6" borderId="0" xfId="0" applyNumberFormat="1" applyFont="1" applyFill="1"/>
    <xf numFmtId="176" fontId="4" fillId="6" borderId="0" xfId="1" applyNumberFormat="1" applyFont="1" applyFill="1" applyBorder="1" applyAlignment="1">
      <alignment horizontal="right"/>
    </xf>
    <xf numFmtId="176" fontId="4" fillId="6" borderId="23" xfId="1" applyNumberFormat="1" applyFont="1" applyFill="1" applyBorder="1" applyAlignment="1">
      <alignment horizontal="right"/>
    </xf>
    <xf numFmtId="2" fontId="4" fillId="6" borderId="21" xfId="1" applyNumberFormat="1" applyFont="1" applyFill="1" applyBorder="1"/>
    <xf numFmtId="166" fontId="4" fillId="6" borderId="0" xfId="1" applyNumberFormat="1" applyFont="1" applyFill="1" applyBorder="1"/>
    <xf numFmtId="166" fontId="4" fillId="6" borderId="7" xfId="1" applyNumberFormat="1" applyFont="1" applyFill="1" applyBorder="1"/>
    <xf numFmtId="2" fontId="4" fillId="6" borderId="1" xfId="0" applyNumberFormat="1" applyFont="1" applyFill="1" applyBorder="1"/>
    <xf numFmtId="176" fontId="4" fillId="6" borderId="1" xfId="1" applyNumberFormat="1" applyFont="1" applyFill="1" applyBorder="1"/>
    <xf numFmtId="2" fontId="4" fillId="6" borderId="29" xfId="1" applyNumberFormat="1" applyFont="1" applyFill="1" applyBorder="1"/>
    <xf numFmtId="2" fontId="4" fillId="6" borderId="1" xfId="1" applyNumberFormat="1" applyFont="1" applyFill="1" applyBorder="1"/>
    <xf numFmtId="2" fontId="4" fillId="6" borderId="30" xfId="1" applyNumberFormat="1" applyFont="1" applyFill="1" applyBorder="1"/>
    <xf numFmtId="166" fontId="4" fillId="6" borderId="1" xfId="1" applyNumberFormat="1" applyFont="1" applyFill="1" applyBorder="1"/>
    <xf numFmtId="166" fontId="4" fillId="6" borderId="9" xfId="1" applyNumberFormat="1" applyFont="1" applyFill="1" applyBorder="1"/>
    <xf numFmtId="2" fontId="28" fillId="0" borderId="0" xfId="0" applyNumberFormat="1" applyFont="1"/>
    <xf numFmtId="2" fontId="28" fillId="0" borderId="0" xfId="1" applyNumberFormat="1" applyFont="1" applyBorder="1"/>
    <xf numFmtId="2" fontId="4" fillId="7" borderId="0" xfId="0" applyNumberFormat="1" applyFont="1" applyFill="1"/>
    <xf numFmtId="0" fontId="55" fillId="2" borderId="0" xfId="0" applyFont="1" applyFill="1" applyAlignment="1">
      <alignment horizontal="left" vertical="center"/>
    </xf>
    <xf numFmtId="166" fontId="48" fillId="13" borderId="0" xfId="0" applyNumberFormat="1" applyFont="1" applyFill="1" applyAlignment="1">
      <alignment horizontal="centerContinuous"/>
    </xf>
    <xf numFmtId="0" fontId="51" fillId="10" borderId="0" xfId="0" applyFont="1" applyFill="1" applyAlignment="1">
      <alignment vertical="center"/>
    </xf>
    <xf numFmtId="0" fontId="56" fillId="10" borderId="0" xfId="0" applyFont="1" applyFill="1" applyAlignment="1">
      <alignment horizontal="right" vertical="center"/>
    </xf>
    <xf numFmtId="0" fontId="56" fillId="7" borderId="0" xfId="0" applyFont="1" applyFill="1" applyAlignment="1">
      <alignment horizontal="right" vertical="center"/>
    </xf>
    <xf numFmtId="0" fontId="50" fillId="0" borderId="1" xfId="0" applyFont="1" applyBorder="1" applyAlignment="1">
      <alignment horizontal="centerContinuous"/>
    </xf>
    <xf numFmtId="200" fontId="57" fillId="15" borderId="0" xfId="0" applyNumberFormat="1" applyFont="1" applyFill="1"/>
    <xf numFmtId="209" fontId="50" fillId="16" borderId="1" xfId="0" applyNumberFormat="1" applyFont="1" applyFill="1" applyBorder="1" applyAlignment="1">
      <alignment horizontal="center"/>
    </xf>
    <xf numFmtId="209" fontId="58" fillId="16" borderId="1" xfId="0" applyNumberFormat="1" applyFont="1" applyFill="1" applyBorder="1" applyAlignment="1">
      <alignment horizontal="center"/>
    </xf>
    <xf numFmtId="209" fontId="50" fillId="0" borderId="0" xfId="0" applyNumberFormat="1" applyFont="1" applyAlignment="1">
      <alignment horizontal="center"/>
    </xf>
    <xf numFmtId="166" fontId="50" fillId="16" borderId="0" xfId="0" applyNumberFormat="1" applyFont="1" applyFill="1"/>
    <xf numFmtId="38" fontId="8" fillId="0" borderId="6" xfId="0" applyNumberFormat="1" applyFont="1" applyBorder="1" applyAlignment="1">
      <alignment horizontal="center"/>
    </xf>
    <xf numFmtId="38" fontId="8" fillId="0" borderId="0" xfId="0" applyNumberFormat="1" applyFont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77" fontId="56" fillId="10" borderId="0" xfId="0" applyNumberFormat="1" applyFont="1" applyFill="1" applyAlignment="1">
      <alignment vertical="center"/>
    </xf>
    <xf numFmtId="17" fontId="56" fillId="7" borderId="0" xfId="0" applyNumberFormat="1" applyFont="1" applyFill="1" applyAlignment="1">
      <alignment vertical="center"/>
    </xf>
    <xf numFmtId="38" fontId="59" fillId="13" borderId="0" xfId="0" applyNumberFormat="1" applyFont="1" applyFill="1" applyAlignment="1">
      <alignment horizontal="center"/>
    </xf>
    <xf numFmtId="166" fontId="59" fillId="13" borderId="0" xfId="0" applyNumberFormat="1" applyFont="1" applyFill="1" applyAlignment="1">
      <alignment horizontal="center"/>
    </xf>
    <xf numFmtId="166" fontId="58" fillId="16" borderId="0" xfId="0" applyNumberFormat="1" applyFont="1" applyFill="1"/>
    <xf numFmtId="195" fontId="7" fillId="15" borderId="0" xfId="0" applyNumberFormat="1" applyFont="1" applyFill="1" applyAlignment="1">
      <alignment horizontal="center"/>
    </xf>
    <xf numFmtId="166" fontId="7" fillId="15" borderId="0" xfId="0" applyNumberFormat="1" applyFont="1" applyFill="1" applyAlignment="1">
      <alignment horizontal="center"/>
    </xf>
    <xf numFmtId="178" fontId="56" fillId="10" borderId="0" xfId="0" applyNumberFormat="1" applyFont="1" applyFill="1" applyAlignment="1">
      <alignment vertical="center"/>
    </xf>
    <xf numFmtId="179" fontId="56" fillId="7" borderId="0" xfId="2" applyNumberFormat="1" applyFont="1" applyFill="1" applyAlignment="1" applyProtection="1">
      <alignment horizontal="right" vertical="center"/>
    </xf>
    <xf numFmtId="169" fontId="60" fillId="7" borderId="0" xfId="2" applyNumberFormat="1" applyFont="1" applyFill="1" applyAlignment="1" applyProtection="1">
      <alignment vertical="center"/>
    </xf>
    <xf numFmtId="0" fontId="51" fillId="0" borderId="0" xfId="0" applyFont="1" applyAlignment="1">
      <alignment vertical="center"/>
    </xf>
    <xf numFmtId="207" fontId="50" fillId="15" borderId="26" xfId="0" applyNumberFormat="1" applyFont="1" applyFill="1" applyBorder="1" applyAlignment="1">
      <alignment horizontal="right"/>
    </xf>
    <xf numFmtId="208" fontId="50" fillId="15" borderId="26" xfId="0" applyNumberFormat="1" applyFont="1" applyFill="1" applyBorder="1" applyAlignment="1">
      <alignment horizontal="right" vertical="distributed"/>
    </xf>
    <xf numFmtId="192" fontId="56" fillId="5" borderId="0" xfId="6" applyNumberFormat="1" applyFont="1" applyFill="1" applyAlignment="1">
      <alignment horizontal="right" vertical="center"/>
    </xf>
    <xf numFmtId="181" fontId="56" fillId="5" borderId="0" xfId="2" applyNumberFormat="1" applyFont="1" applyFill="1" applyAlignment="1" applyProtection="1">
      <alignment horizontal="right" vertical="center"/>
    </xf>
    <xf numFmtId="0" fontId="53" fillId="10" borderId="0" xfId="0" applyFont="1" applyFill="1" applyAlignment="1">
      <alignment vertical="center"/>
    </xf>
    <xf numFmtId="180" fontId="53" fillId="10" borderId="0" xfId="0" applyNumberFormat="1" applyFont="1" applyFill="1" applyAlignment="1">
      <alignment horizontal="right" vertical="center"/>
    </xf>
    <xf numFmtId="169" fontId="53" fillId="10" borderId="0" xfId="2" applyNumberFormat="1" applyFont="1" applyFill="1" applyAlignment="1" applyProtection="1">
      <alignment horizontal="right" vertical="center"/>
    </xf>
    <xf numFmtId="0" fontId="51" fillId="10" borderId="0" xfId="6" applyFont="1" applyFill="1" applyAlignment="1">
      <alignment vertical="center"/>
    </xf>
    <xf numFmtId="179" fontId="56" fillId="5" borderId="0" xfId="2" applyNumberFormat="1" applyFont="1" applyFill="1" applyAlignment="1" applyProtection="1">
      <alignment horizontal="right" vertical="center"/>
    </xf>
    <xf numFmtId="0" fontId="51" fillId="10" borderId="0" xfId="0" applyFont="1" applyFill="1" applyAlignment="1">
      <alignment horizontal="right" vertical="center"/>
    </xf>
    <xf numFmtId="0" fontId="51" fillId="10" borderId="0" xfId="7" applyFont="1" applyFill="1" applyAlignment="1">
      <alignment vertical="center"/>
    </xf>
    <xf numFmtId="212" fontId="50" fillId="10" borderId="1" xfId="2" applyNumberFormat="1" applyFont="1" applyFill="1" applyBorder="1" applyAlignment="1" applyProtection="1">
      <alignment vertical="center"/>
    </xf>
    <xf numFmtId="0" fontId="50" fillId="10" borderId="0" xfId="0" applyFont="1" applyFill="1" applyAlignment="1">
      <alignment vertical="center"/>
    </xf>
    <xf numFmtId="212" fontId="50" fillId="10" borderId="0" xfId="2" applyNumberFormat="1" applyFont="1" applyFill="1" applyAlignment="1" applyProtection="1">
      <alignment vertical="center"/>
    </xf>
    <xf numFmtId="166" fontId="51" fillId="0" borderId="0" xfId="0" applyNumberFormat="1" applyFont="1"/>
    <xf numFmtId="210" fontId="53" fillId="0" borderId="0" xfId="0" applyNumberFormat="1" applyFont="1" applyAlignment="1">
      <alignment horizontal="right"/>
    </xf>
    <xf numFmtId="198" fontId="50" fillId="10" borderId="0" xfId="2" applyNumberFormat="1" applyFont="1" applyFill="1" applyAlignment="1" applyProtection="1">
      <alignment vertical="center"/>
    </xf>
    <xf numFmtId="184" fontId="50" fillId="10" borderId="0" xfId="2" applyNumberFormat="1" applyFont="1" applyFill="1" applyAlignment="1" applyProtection="1">
      <alignment vertical="center"/>
    </xf>
    <xf numFmtId="198" fontId="50" fillId="10" borderId="1" xfId="2" applyNumberFormat="1" applyFont="1" applyFill="1" applyBorder="1" applyAlignment="1" applyProtection="1">
      <alignment vertical="center"/>
    </xf>
    <xf numFmtId="0" fontId="50" fillId="10" borderId="0" xfId="6" applyFont="1" applyFill="1" applyAlignment="1">
      <alignment horizontal="center" vertical="center"/>
    </xf>
    <xf numFmtId="192" fontId="50" fillId="10" borderId="1" xfId="6" applyNumberFormat="1" applyFont="1" applyFill="1" applyBorder="1" applyAlignment="1">
      <alignment horizontal="center" vertical="center"/>
    </xf>
    <xf numFmtId="2" fontId="50" fillId="10" borderId="1" xfId="8" applyNumberFormat="1" applyFont="1" applyFill="1" applyBorder="1" applyAlignment="1">
      <alignment horizontal="center" vertical="center"/>
    </xf>
    <xf numFmtId="186" fontId="51" fillId="10" borderId="0" xfId="0" applyNumberFormat="1" applyFont="1" applyFill="1" applyAlignment="1">
      <alignment horizontal="right" vertical="center"/>
    </xf>
    <xf numFmtId="181" fontId="50" fillId="10" borderId="0" xfId="2" applyNumberFormat="1" applyFont="1" applyFill="1" applyAlignment="1" applyProtection="1">
      <alignment horizontal="right" vertical="center"/>
    </xf>
    <xf numFmtId="178" fontId="51" fillId="0" borderId="0" xfId="0" applyNumberFormat="1" applyFont="1" applyAlignment="1">
      <alignment vertical="center"/>
    </xf>
    <xf numFmtId="166" fontId="48" fillId="0" borderId="0" xfId="0" applyNumberFormat="1" applyFont="1"/>
    <xf numFmtId="38" fontId="59" fillId="18" borderId="0" xfId="0" applyNumberFormat="1" applyFont="1" applyFill="1" applyAlignment="1">
      <alignment horizontal="center"/>
    </xf>
    <xf numFmtId="195" fontId="7" fillId="17" borderId="0" xfId="0" applyNumberFormat="1" applyFont="1" applyFill="1" applyAlignment="1">
      <alignment horizontal="center"/>
    </xf>
    <xf numFmtId="187" fontId="51" fillId="10" borderId="0" xfId="0" applyNumberFormat="1" applyFont="1" applyFill="1" applyAlignment="1">
      <alignment horizontal="right" vertical="center"/>
    </xf>
    <xf numFmtId="166" fontId="8" fillId="0" borderId="6" xfId="1" applyNumberFormat="1" applyFont="1" applyBorder="1" applyAlignment="1">
      <alignment horizontal="center"/>
    </xf>
    <xf numFmtId="166" fontId="8" fillId="0" borderId="0" xfId="1" applyNumberFormat="1" applyFont="1" applyAlignment="1">
      <alignment horizontal="center"/>
    </xf>
    <xf numFmtId="166" fontId="59" fillId="18" borderId="0" xfId="1" applyNumberFormat="1" applyFont="1" applyFill="1" applyAlignment="1">
      <alignment horizontal="center"/>
    </xf>
    <xf numFmtId="166" fontId="7" fillId="17" borderId="0" xfId="1" applyNumberFormat="1" applyFont="1" applyFill="1" applyAlignment="1">
      <alignment horizontal="center"/>
    </xf>
    <xf numFmtId="0" fontId="50" fillId="10" borderId="1" xfId="0" applyFont="1" applyFill="1" applyBorder="1" applyAlignment="1">
      <alignment horizontal="center" vertical="center"/>
    </xf>
    <xf numFmtId="169" fontId="60" fillId="5" borderId="0" xfId="2" applyNumberFormat="1" applyFont="1" applyFill="1" applyAlignment="1" applyProtection="1">
      <alignment horizontal="right" vertical="center"/>
    </xf>
    <xf numFmtId="166" fontId="51" fillId="6" borderId="3" xfId="1" applyNumberFormat="1" applyFont="1" applyFill="1" applyBorder="1" applyProtection="1"/>
    <xf numFmtId="166" fontId="51" fillId="6" borderId="6" xfId="1" applyNumberFormat="1" applyFont="1" applyFill="1" applyBorder="1" applyProtection="1"/>
    <xf numFmtId="166" fontId="51" fillId="6" borderId="6" xfId="1" applyNumberFormat="1" applyFont="1" applyFill="1" applyBorder="1"/>
    <xf numFmtId="166" fontId="51" fillId="6" borderId="8" xfId="1" applyNumberFormat="1" applyFont="1" applyFill="1" applyBorder="1" applyProtection="1"/>
    <xf numFmtId="181" fontId="4" fillId="10" borderId="0" xfId="2" applyNumberFormat="1" applyFont="1" applyFill="1" applyAlignment="1" applyProtection="1">
      <alignment horizontal="right" vertical="center"/>
    </xf>
    <xf numFmtId="166" fontId="50" fillId="11" borderId="0" xfId="0" applyNumberFormat="1" applyFont="1" applyFill="1"/>
    <xf numFmtId="166" fontId="58" fillId="11" borderId="0" xfId="0" applyNumberFormat="1" applyFont="1" applyFill="1"/>
    <xf numFmtId="209" fontId="50" fillId="11" borderId="1" xfId="0" applyNumberFormat="1" applyFont="1" applyFill="1" applyBorder="1" applyAlignment="1">
      <alignment horizontal="center"/>
    </xf>
    <xf numFmtId="209" fontId="58" fillId="11" borderId="1" xfId="0" applyNumberFormat="1" applyFont="1" applyFill="1" applyBorder="1" applyAlignment="1">
      <alignment horizontal="center"/>
    </xf>
    <xf numFmtId="186" fontId="50" fillId="10" borderId="0" xfId="0" applyNumberFormat="1" applyFont="1" applyFill="1" applyAlignment="1">
      <alignment horizontal="right" vertical="center"/>
    </xf>
    <xf numFmtId="164" fontId="51" fillId="10" borderId="0" xfId="2" applyNumberFormat="1" applyFont="1" applyFill="1" applyAlignment="1" applyProtection="1">
      <alignment horizontal="right" vertical="center"/>
    </xf>
    <xf numFmtId="164" fontId="4" fillId="10" borderId="0" xfId="2" applyNumberFormat="1" applyFont="1" applyFill="1" applyAlignment="1" applyProtection="1">
      <alignment horizontal="right" vertical="center"/>
    </xf>
    <xf numFmtId="181" fontId="51" fillId="10" borderId="0" xfId="2" applyNumberFormat="1" applyFont="1" applyFill="1" applyAlignment="1" applyProtection="1">
      <alignment horizontal="right" vertical="center"/>
    </xf>
    <xf numFmtId="0" fontId="21" fillId="10" borderId="1" xfId="0" applyFont="1" applyFill="1" applyBorder="1"/>
    <xf numFmtId="0" fontId="41" fillId="10" borderId="0" xfId="0" applyFont="1" applyFill="1"/>
    <xf numFmtId="0" fontId="36" fillId="10" borderId="0" xfId="0" applyFont="1" applyFill="1"/>
    <xf numFmtId="0" fontId="21" fillId="10" borderId="0" xfId="0" applyFont="1" applyFill="1" applyAlignment="1">
      <alignment vertical="top"/>
    </xf>
    <xf numFmtId="0" fontId="21" fillId="10" borderId="0" xfId="0" applyFont="1" applyFill="1"/>
    <xf numFmtId="0" fontId="42" fillId="10" borderId="0" xfId="0" applyFont="1" applyFill="1"/>
    <xf numFmtId="166" fontId="21" fillId="10" borderId="0" xfId="0" applyNumberFormat="1" applyFont="1" applyFill="1"/>
    <xf numFmtId="166" fontId="31" fillId="10" borderId="0" xfId="0" applyNumberFormat="1" applyFont="1" applyFill="1"/>
    <xf numFmtId="201" fontId="21" fillId="10" borderId="0" xfId="0" applyNumberFormat="1" applyFont="1" applyFill="1"/>
    <xf numFmtId="199" fontId="31" fillId="10" borderId="0" xfId="0" applyNumberFormat="1" applyFont="1" applyFill="1"/>
    <xf numFmtId="200" fontId="31" fillId="10" borderId="0" xfId="0" applyNumberFormat="1" applyFont="1" applyFill="1"/>
    <xf numFmtId="40" fontId="21" fillId="10" borderId="0" xfId="0" applyNumberFormat="1" applyFont="1" applyFill="1"/>
    <xf numFmtId="196" fontId="21" fillId="10" borderId="0" xfId="0" applyNumberFormat="1" applyFont="1" applyFill="1" applyAlignment="1">
      <alignment horizontal="right" vertical="distributed"/>
    </xf>
    <xf numFmtId="0" fontId="42" fillId="10" borderId="0" xfId="0" applyFont="1" applyFill="1" applyAlignment="1">
      <alignment horizontal="center"/>
    </xf>
    <xf numFmtId="0" fontId="42" fillId="10" borderId="1" xfId="0" applyFont="1" applyFill="1" applyBorder="1"/>
    <xf numFmtId="0" fontId="42" fillId="10" borderId="1" xfId="0" applyFont="1" applyFill="1" applyBorder="1" applyAlignment="1">
      <alignment horizontal="center"/>
    </xf>
    <xf numFmtId="166" fontId="36" fillId="10" borderId="0" xfId="0" applyNumberFormat="1" applyFont="1" applyFill="1"/>
    <xf numFmtId="40" fontId="36" fillId="10" borderId="0" xfId="0" applyNumberFormat="1" applyFont="1" applyFill="1"/>
    <xf numFmtId="0" fontId="46" fillId="10" borderId="0" xfId="0" applyFont="1" applyFill="1" applyAlignment="1">
      <alignment horizontal="left"/>
    </xf>
    <xf numFmtId="169" fontId="24" fillId="10" borderId="0" xfId="0" applyNumberFormat="1" applyFont="1" applyFill="1" applyAlignment="1">
      <alignment horizontal="right"/>
    </xf>
    <xf numFmtId="0" fontId="36" fillId="10" borderId="0" xfId="0" applyFont="1" applyFill="1" applyAlignment="1">
      <alignment horizontal="left"/>
    </xf>
    <xf numFmtId="0" fontId="41" fillId="10" borderId="1" xfId="0" applyFont="1" applyFill="1" applyBorder="1"/>
    <xf numFmtId="2" fontId="22" fillId="10" borderId="1" xfId="0" applyNumberFormat="1" applyFont="1" applyFill="1" applyBorder="1" applyAlignment="1">
      <alignment horizontal="center"/>
    </xf>
    <xf numFmtId="2" fontId="22" fillId="10" borderId="32" xfId="0" applyNumberFormat="1" applyFont="1" applyFill="1" applyBorder="1" applyAlignment="1">
      <alignment horizontal="center"/>
    </xf>
    <xf numFmtId="2" fontId="22" fillId="10" borderId="19" xfId="0" applyNumberFormat="1" applyFont="1" applyFill="1" applyBorder="1" applyAlignment="1">
      <alignment horizontal="center"/>
    </xf>
    <xf numFmtId="166" fontId="61" fillId="11" borderId="0" xfId="0" applyNumberFormat="1" applyFont="1" applyFill="1"/>
    <xf numFmtId="2" fontId="62" fillId="8" borderId="0" xfId="0" applyNumberFormat="1" applyFont="1" applyFill="1"/>
    <xf numFmtId="0" fontId="7" fillId="10" borderId="0" xfId="0" applyFont="1" applyFill="1"/>
    <xf numFmtId="195" fontId="50" fillId="10" borderId="0" xfId="0" applyNumberFormat="1" applyFont="1" applyFill="1"/>
    <xf numFmtId="0" fontId="8" fillId="10" borderId="0" xfId="0" applyFont="1" applyFill="1"/>
    <xf numFmtId="191" fontId="51" fillId="10" borderId="1" xfId="0" applyNumberFormat="1" applyFont="1" applyFill="1" applyBorder="1"/>
    <xf numFmtId="195" fontId="7" fillId="10" borderId="0" xfId="0" applyNumberFormat="1" applyFont="1" applyFill="1"/>
    <xf numFmtId="0" fontId="49" fillId="10" borderId="0" xfId="0" applyFont="1" applyFill="1"/>
    <xf numFmtId="169" fontId="53" fillId="10" borderId="0" xfId="0" applyNumberFormat="1" applyFont="1" applyFill="1" applyAlignment="1">
      <alignment horizontal="right"/>
    </xf>
    <xf numFmtId="178" fontId="8" fillId="10" borderId="0" xfId="0" applyNumberFormat="1" applyFont="1" applyFill="1"/>
    <xf numFmtId="2" fontId="4" fillId="10" borderId="0" xfId="0" applyNumberFormat="1" applyFont="1" applyFill="1" applyAlignment="1">
      <alignment horizontal="left" indent="1"/>
    </xf>
    <xf numFmtId="166" fontId="49" fillId="10" borderId="0" xfId="0" applyNumberFormat="1" applyFont="1" applyFill="1"/>
    <xf numFmtId="0" fontId="50" fillId="10" borderId="1" xfId="0" applyFont="1" applyFill="1" applyBorder="1"/>
    <xf numFmtId="195" fontId="51" fillId="10" borderId="0" xfId="0" applyNumberFormat="1" applyFont="1" applyFill="1"/>
    <xf numFmtId="0" fontId="8" fillId="10" borderId="0" xfId="0" applyFont="1" applyFill="1" applyAlignment="1">
      <alignment horizontal="center"/>
    </xf>
    <xf numFmtId="195" fontId="8" fillId="10" borderId="0" xfId="0" applyNumberFormat="1" applyFont="1" applyFill="1"/>
    <xf numFmtId="0" fontId="7" fillId="10" borderId="0" xfId="0" applyFont="1" applyFill="1" applyAlignment="1">
      <alignment horizontal="left" indent="1"/>
    </xf>
    <xf numFmtId="2" fontId="2" fillId="10" borderId="0" xfId="0" applyNumberFormat="1" applyFont="1" applyFill="1" applyAlignment="1">
      <alignment horizontal="left" indent="1"/>
    </xf>
    <xf numFmtId="9" fontId="4" fillId="10" borderId="0" xfId="1" applyFont="1" applyFill="1"/>
    <xf numFmtId="166" fontId="51" fillId="10" borderId="0" xfId="0" applyNumberFormat="1" applyFont="1" applyFill="1" applyAlignment="1">
      <alignment horizontal="right"/>
    </xf>
    <xf numFmtId="203" fontId="51" fillId="10" borderId="0" xfId="0" applyNumberFormat="1" applyFont="1" applyFill="1"/>
    <xf numFmtId="10" fontId="4" fillId="0" borderId="0" xfId="1" applyNumberFormat="1" applyFont="1" applyAlignment="1">
      <alignment horizontal="center"/>
    </xf>
    <xf numFmtId="0" fontId="8" fillId="0" borderId="0" xfId="0" applyFont="1" applyAlignment="1">
      <alignment vertical="center"/>
    </xf>
    <xf numFmtId="200" fontId="57" fillId="15" borderId="0" xfId="0" applyNumberFormat="1" applyFont="1" applyFill="1" applyAlignment="1">
      <alignment vertical="center"/>
    </xf>
    <xf numFmtId="209" fontId="50" fillId="11" borderId="1" xfId="0" applyNumberFormat="1" applyFont="1" applyFill="1" applyBorder="1" applyAlignment="1">
      <alignment horizontal="center" vertical="center"/>
    </xf>
    <xf numFmtId="209" fontId="58" fillId="11" borderId="1" xfId="0" applyNumberFormat="1" applyFont="1" applyFill="1" applyBorder="1" applyAlignment="1">
      <alignment horizontal="center" vertical="center"/>
    </xf>
    <xf numFmtId="166" fontId="50" fillId="11" borderId="0" xfId="0" applyNumberFormat="1" applyFont="1" applyFill="1" applyAlignment="1">
      <alignment vertical="center"/>
    </xf>
    <xf numFmtId="38" fontId="8" fillId="0" borderId="6" xfId="0" applyNumberFormat="1" applyFont="1" applyBorder="1" applyAlignment="1">
      <alignment horizontal="center" vertical="center"/>
    </xf>
    <xf numFmtId="38" fontId="8" fillId="0" borderId="0" xfId="0" applyNumberFormat="1" applyFont="1" applyAlignment="1">
      <alignment horizontal="center" vertical="center"/>
    </xf>
    <xf numFmtId="38" fontId="59" fillId="18" borderId="0" xfId="0" applyNumberFormat="1" applyFont="1" applyFill="1" applyAlignment="1">
      <alignment horizontal="center" vertical="center"/>
    </xf>
    <xf numFmtId="166" fontId="58" fillId="11" borderId="0" xfId="0" applyNumberFormat="1" applyFont="1" applyFill="1" applyAlignment="1">
      <alignment vertical="center"/>
    </xf>
    <xf numFmtId="195" fontId="7" fillId="17" borderId="0" xfId="0" applyNumberFormat="1" applyFont="1" applyFill="1" applyAlignment="1">
      <alignment horizontal="center" vertical="center"/>
    </xf>
    <xf numFmtId="166" fontId="8" fillId="0" borderId="6" xfId="1" applyNumberFormat="1" applyFont="1" applyBorder="1" applyAlignment="1">
      <alignment horizontal="center" vertical="center"/>
    </xf>
    <xf numFmtId="166" fontId="8" fillId="0" borderId="0" xfId="1" applyNumberFormat="1" applyFont="1" applyAlignment="1">
      <alignment horizontal="center" vertical="center"/>
    </xf>
    <xf numFmtId="166" fontId="59" fillId="18" borderId="0" xfId="1" applyNumberFormat="1" applyFont="1" applyFill="1" applyAlignment="1">
      <alignment horizontal="center" vertical="center"/>
    </xf>
    <xf numFmtId="166" fontId="7" fillId="17" borderId="0" xfId="1" applyNumberFormat="1" applyFont="1" applyFill="1" applyAlignment="1">
      <alignment horizontal="center" vertical="center"/>
    </xf>
    <xf numFmtId="2" fontId="4" fillId="10" borderId="32" xfId="0" applyNumberFormat="1" applyFont="1" applyFill="1" applyBorder="1"/>
    <xf numFmtId="2" fontId="4" fillId="10" borderId="1" xfId="0" applyNumberFormat="1" applyFont="1" applyFill="1" applyBorder="1"/>
    <xf numFmtId="2" fontId="4" fillId="0" borderId="0" xfId="0" applyNumberFormat="1" applyFont="1" applyAlignment="1">
      <alignment horizontal="left" indent="2"/>
    </xf>
    <xf numFmtId="166" fontId="50" fillId="11" borderId="7" xfId="1" applyNumberFormat="1" applyFont="1" applyFill="1" applyBorder="1"/>
    <xf numFmtId="166" fontId="58" fillId="11" borderId="7" xfId="1" applyNumberFormat="1" applyFont="1" applyFill="1" applyBorder="1"/>
    <xf numFmtId="213" fontId="3" fillId="19" borderId="0" xfId="0" applyNumberFormat="1" applyFont="1" applyFill="1" applyAlignment="1">
      <alignment horizontal="center"/>
    </xf>
    <xf numFmtId="213" fontId="2" fillId="6" borderId="0" xfId="0" applyNumberFormat="1" applyFont="1" applyFill="1" applyAlignment="1">
      <alignment horizontal="center"/>
    </xf>
    <xf numFmtId="200" fontId="43" fillId="15" borderId="0" xfId="0" applyNumberFormat="1" applyFont="1" applyFill="1" applyAlignment="1">
      <alignment vertical="center"/>
    </xf>
    <xf numFmtId="166" fontId="36" fillId="0" borderId="6" xfId="0" applyNumberFormat="1" applyFont="1" applyBorder="1" applyAlignment="1">
      <alignment horizontal="center" vertical="center"/>
    </xf>
    <xf numFmtId="166" fontId="36" fillId="0" borderId="0" xfId="0" applyNumberFormat="1" applyFont="1" applyAlignment="1">
      <alignment horizontal="center" vertical="center"/>
    </xf>
    <xf numFmtId="166" fontId="38" fillId="18" borderId="0" xfId="0" applyNumberFormat="1" applyFont="1" applyFill="1" applyAlignment="1">
      <alignment horizontal="center" vertical="center"/>
    </xf>
    <xf numFmtId="166" fontId="42" fillId="11" borderId="0" xfId="0" applyNumberFormat="1" applyFont="1" applyFill="1" applyAlignment="1">
      <alignment horizontal="center" vertical="center"/>
    </xf>
    <xf numFmtId="209" fontId="4" fillId="0" borderId="0" xfId="0" applyNumberFormat="1" applyFont="1"/>
    <xf numFmtId="2" fontId="4" fillId="12" borderId="1" xfId="0" applyNumberFormat="1" applyFont="1" applyFill="1" applyBorder="1"/>
    <xf numFmtId="2" fontId="4" fillId="12" borderId="29" xfId="0" applyNumberFormat="1" applyFont="1" applyFill="1" applyBorder="1"/>
    <xf numFmtId="166" fontId="4" fillId="0" borderId="0" xfId="1" applyNumberFormat="1" applyFont="1" applyBorder="1"/>
    <xf numFmtId="166" fontId="4" fillId="0" borderId="23" xfId="1" applyNumberFormat="1" applyFont="1" applyBorder="1"/>
    <xf numFmtId="2" fontId="4" fillId="12" borderId="32" xfId="0" applyNumberFormat="1" applyFont="1" applyFill="1" applyBorder="1"/>
    <xf numFmtId="2" fontId="2" fillId="12" borderId="1" xfId="0" applyNumberFormat="1" applyFont="1" applyFill="1" applyBorder="1"/>
    <xf numFmtId="2" fontId="4" fillId="0" borderId="0" xfId="0" applyNumberFormat="1" applyFont="1" applyAlignment="1">
      <alignment horizontal="right"/>
    </xf>
    <xf numFmtId="175" fontId="4" fillId="0" borderId="0" xfId="0" applyNumberFormat="1" applyFont="1"/>
    <xf numFmtId="209" fontId="4" fillId="0" borderId="27" xfId="0" applyNumberFormat="1" applyFont="1" applyBorder="1"/>
    <xf numFmtId="209" fontId="4" fillId="0" borderId="23" xfId="0" applyNumberFormat="1" applyFont="1" applyBorder="1"/>
    <xf numFmtId="2" fontId="2" fillId="0" borderId="29" xfId="0" applyNumberFormat="1" applyFont="1" applyBorder="1" applyAlignment="1">
      <alignment horizontal="center"/>
    </xf>
    <xf numFmtId="2" fontId="2" fillId="0" borderId="32" xfId="0" applyNumberFormat="1" applyFont="1" applyBorder="1" applyAlignment="1">
      <alignment horizontal="center"/>
    </xf>
    <xf numFmtId="197" fontId="21" fillId="10" borderId="0" xfId="0" applyNumberFormat="1" applyFont="1" applyFill="1"/>
    <xf numFmtId="197" fontId="36" fillId="10" borderId="0" xfId="0" applyNumberFormat="1" applyFont="1" applyFill="1"/>
    <xf numFmtId="197" fontId="36" fillId="10" borderId="1" xfId="0" applyNumberFormat="1" applyFont="1" applyFill="1" applyBorder="1"/>
    <xf numFmtId="197" fontId="22" fillId="10" borderId="0" xfId="0" applyNumberFormat="1" applyFont="1" applyFill="1"/>
    <xf numFmtId="197" fontId="46" fillId="10" borderId="0" xfId="0" applyNumberFormat="1" applyFont="1" applyFill="1"/>
    <xf numFmtId="197" fontId="46" fillId="10" borderId="1" xfId="0" applyNumberFormat="1" applyFont="1" applyFill="1" applyBorder="1"/>
    <xf numFmtId="197" fontId="21" fillId="10" borderId="1" xfId="0" applyNumberFormat="1" applyFont="1" applyFill="1" applyBorder="1"/>
    <xf numFmtId="2" fontId="18" fillId="0" borderId="20" xfId="0" applyNumberFormat="1" applyFont="1" applyBorder="1"/>
    <xf numFmtId="2" fontId="18" fillId="0" borderId="0" xfId="0" applyNumberFormat="1" applyFont="1"/>
    <xf numFmtId="192" fontId="4" fillId="10" borderId="0" xfId="6" applyNumberFormat="1" applyFont="1" applyFill="1" applyAlignment="1">
      <alignment horizontal="right" vertical="center"/>
    </xf>
    <xf numFmtId="179" fontId="4" fillId="10" borderId="0" xfId="2" applyNumberFormat="1" applyFont="1" applyFill="1" applyAlignment="1" applyProtection="1">
      <alignment horizontal="right" vertical="center"/>
    </xf>
    <xf numFmtId="209" fontId="2" fillId="20" borderId="26" xfId="0" applyNumberFormat="1" applyFont="1" applyFill="1" applyBorder="1"/>
    <xf numFmtId="213" fontId="63" fillId="11" borderId="0" xfId="0" applyNumberFormat="1" applyFont="1" applyFill="1"/>
    <xf numFmtId="200" fontId="63" fillId="11" borderId="0" xfId="0" applyNumberFormat="1" applyFont="1" applyFill="1"/>
    <xf numFmtId="166" fontId="50" fillId="11" borderId="7" xfId="0" applyNumberFormat="1" applyFont="1" applyFill="1" applyBorder="1"/>
    <xf numFmtId="166" fontId="58" fillId="11" borderId="7" xfId="0" applyNumberFormat="1" applyFont="1" applyFill="1" applyBorder="1"/>
    <xf numFmtId="209" fontId="50" fillId="11" borderId="19" xfId="0" applyNumberFormat="1" applyFont="1" applyFill="1" applyBorder="1" applyAlignment="1">
      <alignment horizontal="center"/>
    </xf>
    <xf numFmtId="213" fontId="0" fillId="0" borderId="0" xfId="0" applyNumberFormat="1" applyAlignment="1">
      <alignment horizontal="center"/>
    </xf>
    <xf numFmtId="169" fontId="21" fillId="0" borderId="0" xfId="2" applyNumberFormat="1" applyFont="1" applyBorder="1"/>
    <xf numFmtId="169" fontId="21" fillId="0" borderId="4" xfId="2" applyNumberFormat="1" applyFont="1" applyBorder="1"/>
    <xf numFmtId="10" fontId="22" fillId="11" borderId="0" xfId="0" applyNumberFormat="1" applyFont="1" applyFill="1" applyAlignment="1">
      <alignment vertical="center"/>
    </xf>
    <xf numFmtId="10" fontId="44" fillId="11" borderId="0" xfId="0" applyNumberFormat="1" applyFont="1" applyFill="1" applyAlignment="1">
      <alignment vertical="center"/>
    </xf>
    <xf numFmtId="2" fontId="22" fillId="11" borderId="1" xfId="1" applyNumberFormat="1" applyFont="1" applyFill="1" applyBorder="1" applyAlignment="1">
      <alignment horizontal="center" vertical="center"/>
    </xf>
    <xf numFmtId="2" fontId="44" fillId="11" borderId="1" xfId="1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/>
    </xf>
    <xf numFmtId="0" fontId="6" fillId="10" borderId="0" xfId="0" applyFont="1" applyFill="1"/>
    <xf numFmtId="164" fontId="6" fillId="10" borderId="0" xfId="0" applyNumberFormat="1" applyFont="1" applyFill="1" applyAlignment="1">
      <alignment horizontal="right"/>
    </xf>
    <xf numFmtId="164" fontId="0" fillId="10" borderId="0" xfId="0" applyNumberFormat="1" applyFill="1" applyAlignment="1">
      <alignment horizontal="right"/>
    </xf>
    <xf numFmtId="164" fontId="0" fillId="10" borderId="7" xfId="0" applyNumberFormat="1" applyFill="1" applyBorder="1" applyAlignment="1">
      <alignment horizontal="right"/>
    </xf>
    <xf numFmtId="0" fontId="0" fillId="10" borderId="0" xfId="0" applyFill="1"/>
    <xf numFmtId="0" fontId="0" fillId="10" borderId="7" xfId="0" applyFill="1" applyBorder="1"/>
    <xf numFmtId="0" fontId="7" fillId="10" borderId="0" xfId="0" applyFont="1" applyFill="1" applyAlignment="1">
      <alignment horizontal="left" indent="2"/>
    </xf>
    <xf numFmtId="0" fontId="0" fillId="10" borderId="0" xfId="0" applyFill="1" applyAlignment="1">
      <alignment horizontal="left" indent="4"/>
    </xf>
    <xf numFmtId="164" fontId="6" fillId="10" borderId="7" xfId="0" applyNumberFormat="1" applyFont="1" applyFill="1" applyBorder="1" applyAlignment="1">
      <alignment horizontal="right"/>
    </xf>
    <xf numFmtId="164" fontId="0" fillId="10" borderId="7" xfId="0" applyNumberFormat="1" applyFill="1" applyBorder="1"/>
    <xf numFmtId="0" fontId="6" fillId="10" borderId="0" xfId="0" applyFont="1" applyFill="1" applyAlignment="1">
      <alignment horizontal="left" indent="4"/>
    </xf>
    <xf numFmtId="0" fontId="6" fillId="10" borderId="1" xfId="0" applyFont="1" applyFill="1" applyBorder="1" applyAlignment="1">
      <alignment horizontal="left" indent="4"/>
    </xf>
    <xf numFmtId="0" fontId="0" fillId="10" borderId="1" xfId="0" applyFill="1" applyBorder="1"/>
    <xf numFmtId="164" fontId="6" fillId="10" borderId="1" xfId="0" applyNumberFormat="1" applyFont="1" applyFill="1" applyBorder="1" applyAlignment="1">
      <alignment horizontal="right"/>
    </xf>
    <xf numFmtId="164" fontId="0" fillId="10" borderId="9" xfId="0" applyNumberFormat="1" applyFill="1" applyBorder="1"/>
    <xf numFmtId="0" fontId="2" fillId="10" borderId="0" xfId="0" applyFont="1" applyFill="1"/>
    <xf numFmtId="164" fontId="2" fillId="10" borderId="0" xfId="0" applyNumberFormat="1" applyFont="1" applyFill="1" applyAlignment="1">
      <alignment horizontal="right"/>
    </xf>
    <xf numFmtId="164" fontId="2" fillId="10" borderId="7" xfId="0" applyNumberFormat="1" applyFont="1" applyFill="1" applyBorder="1" applyAlignment="1">
      <alignment horizontal="right"/>
    </xf>
    <xf numFmtId="0" fontId="6" fillId="10" borderId="0" xfId="0" applyFont="1" applyFill="1" applyAlignment="1">
      <alignment horizontal="left" indent="2"/>
    </xf>
    <xf numFmtId="0" fontId="6" fillId="10" borderId="2" xfId="0" applyFont="1" applyFill="1" applyBorder="1" applyAlignment="1">
      <alignment horizontal="left" indent="4"/>
    </xf>
    <xf numFmtId="0" fontId="0" fillId="10" borderId="2" xfId="0" applyFill="1" applyBorder="1"/>
    <xf numFmtId="164" fontId="0" fillId="10" borderId="2" xfId="0" applyNumberFormat="1" applyFill="1" applyBorder="1" applyAlignment="1">
      <alignment horizontal="right"/>
    </xf>
    <xf numFmtId="164" fontId="7" fillId="10" borderId="2" xfId="0" applyNumberFormat="1" applyFont="1" applyFill="1" applyBorder="1" applyAlignment="1">
      <alignment horizontal="right"/>
    </xf>
    <xf numFmtId="164" fontId="7" fillId="10" borderId="11" xfId="0" applyNumberFormat="1" applyFont="1" applyFill="1" applyBorder="1" applyAlignment="1">
      <alignment horizontal="right"/>
    </xf>
    <xf numFmtId="164" fontId="0" fillId="10" borderId="11" xfId="0" applyNumberFormat="1" applyFill="1" applyBorder="1"/>
    <xf numFmtId="164" fontId="7" fillId="10" borderId="0" xfId="0" applyNumberFormat="1" applyFont="1" applyFill="1" applyAlignment="1">
      <alignment horizontal="right"/>
    </xf>
    <xf numFmtId="164" fontId="7" fillId="10" borderId="7" xfId="0" applyNumberFormat="1" applyFont="1" applyFill="1" applyBorder="1" applyAlignment="1">
      <alignment horizontal="right"/>
    </xf>
    <xf numFmtId="0" fontId="8" fillId="10" borderId="0" xfId="0" applyFont="1" applyFill="1" applyAlignment="1">
      <alignment horizontal="left" indent="4"/>
    </xf>
    <xf numFmtId="0" fontId="2" fillId="10" borderId="0" xfId="0" applyFont="1" applyFill="1" applyAlignment="1">
      <alignment horizontal="left"/>
    </xf>
    <xf numFmtId="164" fontId="2" fillId="10" borderId="5" xfId="0" applyNumberFormat="1" applyFont="1" applyFill="1" applyBorder="1" applyAlignment="1">
      <alignment horizontal="right"/>
    </xf>
    <xf numFmtId="0" fontId="7" fillId="10" borderId="2" xfId="0" applyFont="1" applyFill="1" applyBorder="1" applyAlignment="1">
      <alignment horizontal="left" indent="2"/>
    </xf>
    <xf numFmtId="0" fontId="2" fillId="10" borderId="2" xfId="0" applyFont="1" applyFill="1" applyBorder="1" applyAlignment="1">
      <alignment horizontal="left"/>
    </xf>
    <xf numFmtId="164" fontId="2" fillId="10" borderId="2" xfId="0" applyNumberFormat="1" applyFont="1" applyFill="1" applyBorder="1" applyAlignment="1">
      <alignment horizontal="right"/>
    </xf>
    <xf numFmtId="164" fontId="2" fillId="10" borderId="11" xfId="0" applyNumberFormat="1" applyFont="1" applyFill="1" applyBorder="1" applyAlignment="1">
      <alignment horizontal="right"/>
    </xf>
    <xf numFmtId="0" fontId="2" fillId="10" borderId="11" xfId="0" applyFont="1" applyFill="1" applyBorder="1" applyAlignment="1">
      <alignment horizontal="left"/>
    </xf>
    <xf numFmtId="0" fontId="7" fillId="10" borderId="0" xfId="0" applyFont="1" applyFill="1" applyAlignment="1">
      <alignment horizontal="left"/>
    </xf>
    <xf numFmtId="0" fontId="2" fillId="10" borderId="7" xfId="0" applyFont="1" applyFill="1" applyBorder="1" applyAlignment="1">
      <alignment horizontal="left"/>
    </xf>
    <xf numFmtId="164" fontId="2" fillId="10" borderId="37" xfId="0" applyNumberFormat="1" applyFont="1" applyFill="1" applyBorder="1" applyAlignment="1">
      <alignment horizontal="right"/>
    </xf>
    <xf numFmtId="0" fontId="7" fillId="10" borderId="2" xfId="0" applyFont="1" applyFill="1" applyBorder="1"/>
    <xf numFmtId="0" fontId="2" fillId="10" borderId="2" xfId="0" applyFont="1" applyFill="1" applyBorder="1"/>
    <xf numFmtId="0" fontId="2" fillId="10" borderId="11" xfId="0" applyFont="1" applyFill="1" applyBorder="1"/>
    <xf numFmtId="2" fontId="0" fillId="10" borderId="0" xfId="0" applyNumberFormat="1" applyFill="1"/>
    <xf numFmtId="0" fontId="11" fillId="10" borderId="0" xfId="0" applyFont="1" applyFill="1"/>
    <xf numFmtId="164" fontId="0" fillId="7" borderId="2" xfId="0" applyNumberFormat="1" applyFill="1" applyBorder="1" applyAlignment="1">
      <alignment horizontal="right"/>
    </xf>
    <xf numFmtId="164" fontId="6" fillId="7" borderId="2" xfId="0" applyNumberFormat="1" applyFont="1" applyFill="1" applyBorder="1" applyAlignment="1">
      <alignment horizontal="right"/>
    </xf>
    <xf numFmtId="164" fontId="6" fillId="7" borderId="11" xfId="0" applyNumberFormat="1" applyFont="1" applyFill="1" applyBorder="1" applyAlignment="1">
      <alignment horizontal="right"/>
    </xf>
    <xf numFmtId="164" fontId="28" fillId="7" borderId="0" xfId="0" applyNumberFormat="1" applyFont="1" applyFill="1" applyAlignment="1">
      <alignment horizontal="right"/>
    </xf>
    <xf numFmtId="164" fontId="28" fillId="7" borderId="7" xfId="0" applyNumberFormat="1" applyFont="1" applyFill="1" applyBorder="1" applyAlignment="1">
      <alignment horizontal="right"/>
    </xf>
    <xf numFmtId="164" fontId="28" fillId="7" borderId="1" xfId="0" applyNumberFormat="1" applyFont="1" applyFill="1" applyBorder="1" applyAlignment="1">
      <alignment horizontal="right"/>
    </xf>
    <xf numFmtId="164" fontId="28" fillId="7" borderId="9" xfId="0" applyNumberFormat="1" applyFont="1" applyFill="1" applyBorder="1" applyAlignment="1">
      <alignment horizontal="right"/>
    </xf>
    <xf numFmtId="0" fontId="16" fillId="2" borderId="0" xfId="0" applyFont="1" applyFill="1"/>
    <xf numFmtId="0" fontId="14" fillId="2" borderId="0" xfId="0" applyFont="1" applyFill="1"/>
    <xf numFmtId="0" fontId="15" fillId="10" borderId="0" xfId="0" applyFont="1" applyFill="1"/>
    <xf numFmtId="0" fontId="17" fillId="10" borderId="0" xfId="0" applyFont="1" applyFill="1"/>
    <xf numFmtId="164" fontId="15" fillId="10" borderId="0" xfId="0" applyNumberFormat="1" applyFont="1" applyFill="1"/>
    <xf numFmtId="164" fontId="15" fillId="10" borderId="7" xfId="0" applyNumberFormat="1" applyFont="1" applyFill="1" applyBorder="1"/>
    <xf numFmtId="164" fontId="2" fillId="10" borderId="7" xfId="0" applyNumberFormat="1" applyFont="1" applyFill="1" applyBorder="1"/>
    <xf numFmtId="0" fontId="13" fillId="10" borderId="0" xfId="0" applyFont="1" applyFill="1"/>
    <xf numFmtId="0" fontId="14" fillId="10" borderId="0" xfId="0" applyFont="1" applyFill="1"/>
    <xf numFmtId="164" fontId="13" fillId="10" borderId="0" xfId="0" applyNumberFormat="1" applyFont="1" applyFill="1"/>
    <xf numFmtId="164" fontId="0" fillId="10" borderId="0" xfId="0" applyNumberFormat="1" applyFill="1"/>
    <xf numFmtId="164" fontId="13" fillId="10" borderId="7" xfId="0" applyNumberFormat="1" applyFont="1" applyFill="1" applyBorder="1"/>
    <xf numFmtId="0" fontId="13" fillId="10" borderId="0" xfId="0" applyFont="1" applyFill="1" applyAlignment="1">
      <alignment wrapText="1"/>
    </xf>
    <xf numFmtId="164" fontId="14" fillId="10" borderId="0" xfId="0" applyNumberFormat="1" applyFont="1" applyFill="1"/>
    <xf numFmtId="164" fontId="12" fillId="10" borderId="0" xfId="0" applyNumberFormat="1" applyFont="1" applyFill="1"/>
    <xf numFmtId="164" fontId="14" fillId="10" borderId="7" xfId="0" applyNumberFormat="1" applyFont="1" applyFill="1" applyBorder="1"/>
    <xf numFmtId="0" fontId="13" fillId="10" borderId="0" xfId="0" applyFont="1" applyFill="1" applyAlignment="1">
      <alignment horizontal="left" indent="2"/>
    </xf>
    <xf numFmtId="0" fontId="13" fillId="10" borderId="0" xfId="0" applyFont="1" applyFill="1" applyAlignment="1">
      <alignment horizontal="left" indent="4"/>
    </xf>
    <xf numFmtId="0" fontId="13" fillId="10" borderId="1" xfId="0" applyFont="1" applyFill="1" applyBorder="1" applyAlignment="1">
      <alignment horizontal="left" indent="4"/>
    </xf>
    <xf numFmtId="0" fontId="14" fillId="10" borderId="1" xfId="0" applyFont="1" applyFill="1" applyBorder="1"/>
    <xf numFmtId="164" fontId="13" fillId="10" borderId="1" xfId="0" applyNumberFormat="1" applyFont="1" applyFill="1" applyBorder="1"/>
    <xf numFmtId="164" fontId="17" fillId="10" borderId="0" xfId="0" applyNumberFormat="1" applyFont="1" applyFill="1"/>
    <xf numFmtId="164" fontId="17" fillId="10" borderId="7" xfId="0" applyNumberFormat="1" applyFont="1" applyFill="1" applyBorder="1"/>
    <xf numFmtId="0" fontId="13" fillId="10" borderId="1" xfId="0" applyFont="1" applyFill="1" applyBorder="1" applyAlignment="1">
      <alignment horizontal="left" indent="2"/>
    </xf>
    <xf numFmtId="0" fontId="15" fillId="10" borderId="0" xfId="0" applyFont="1" applyFill="1" applyAlignment="1">
      <alignment horizontal="left"/>
    </xf>
    <xf numFmtId="0" fontId="13" fillId="10" borderId="2" xfId="0" applyFont="1" applyFill="1" applyBorder="1"/>
    <xf numFmtId="0" fontId="14" fillId="10" borderId="2" xfId="0" applyFont="1" applyFill="1" applyBorder="1"/>
    <xf numFmtId="164" fontId="0" fillId="10" borderId="2" xfId="0" applyNumberFormat="1" applyFill="1" applyBorder="1"/>
    <xf numFmtId="164" fontId="13" fillId="10" borderId="2" xfId="0" applyNumberFormat="1" applyFont="1" applyFill="1" applyBorder="1"/>
    <xf numFmtId="164" fontId="13" fillId="10" borderId="11" xfId="0" applyNumberFormat="1" applyFont="1" applyFill="1" applyBorder="1"/>
    <xf numFmtId="164" fontId="64" fillId="7" borderId="0" xfId="0" applyNumberFormat="1" applyFont="1" applyFill="1"/>
    <xf numFmtId="164" fontId="5" fillId="7" borderId="0" xfId="0" applyNumberFormat="1" applyFont="1" applyFill="1"/>
    <xf numFmtId="164" fontId="64" fillId="7" borderId="7" xfId="0" applyNumberFormat="1" applyFont="1" applyFill="1" applyBorder="1"/>
    <xf numFmtId="0" fontId="5" fillId="7" borderId="0" xfId="0" applyFont="1" applyFill="1"/>
    <xf numFmtId="164" fontId="64" fillId="7" borderId="1" xfId="0" applyNumberFormat="1" applyFont="1" applyFill="1" applyBorder="1"/>
    <xf numFmtId="164" fontId="5" fillId="7" borderId="1" xfId="0" applyNumberFormat="1" applyFont="1" applyFill="1" applyBorder="1"/>
    <xf numFmtId="164" fontId="64" fillId="7" borderId="9" xfId="0" applyNumberFormat="1" applyFont="1" applyFill="1" applyBorder="1"/>
    <xf numFmtId="164" fontId="64" fillId="7" borderId="8" xfId="0" applyNumberFormat="1" applyFont="1" applyFill="1" applyBorder="1"/>
    <xf numFmtId="0" fontId="5" fillId="7" borderId="10" xfId="0" applyFont="1" applyFill="1" applyBorder="1"/>
    <xf numFmtId="0" fontId="5" fillId="7" borderId="2" xfId="0" applyFont="1" applyFill="1" applyBorder="1"/>
    <xf numFmtId="164" fontId="64" fillId="7" borderId="2" xfId="0" applyNumberFormat="1" applyFont="1" applyFill="1" applyBorder="1"/>
    <xf numFmtId="164" fontId="65" fillId="7" borderId="0" xfId="0" applyNumberFormat="1" applyFont="1" applyFill="1"/>
    <xf numFmtId="164" fontId="65" fillId="7" borderId="7" xfId="0" applyNumberFormat="1" applyFont="1" applyFill="1" applyBorder="1"/>
    <xf numFmtId="166" fontId="0" fillId="0" borderId="0" xfId="1" applyNumberFormat="1" applyFont="1"/>
    <xf numFmtId="0" fontId="0" fillId="0" borderId="0" xfId="0" applyAlignment="1">
      <alignment horizontal="right"/>
    </xf>
    <xf numFmtId="0" fontId="66" fillId="0" borderId="0" xfId="0" applyFont="1"/>
    <xf numFmtId="0" fontId="67" fillId="0" borderId="0" xfId="0" applyFont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215" fontId="2" fillId="0" borderId="0" xfId="0" applyNumberFormat="1" applyFont="1"/>
    <xf numFmtId="0" fontId="4" fillId="7" borderId="0" xfId="0" applyFont="1" applyFill="1" applyAlignment="1">
      <alignment horizontal="center"/>
    </xf>
    <xf numFmtId="9" fontId="4" fillId="7" borderId="0" xfId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2" fillId="7" borderId="0" xfId="0" applyFont="1" applyFill="1"/>
    <xf numFmtId="170" fontId="2" fillId="0" borderId="0" xfId="0" applyNumberFormat="1" applyFont="1"/>
    <xf numFmtId="0" fontId="42" fillId="0" borderId="0" xfId="0" applyFont="1" applyAlignment="1" applyProtection="1">
      <alignment horizontal="right" vertical="center" textRotation="90"/>
      <protection locked="0"/>
    </xf>
    <xf numFmtId="2" fontId="3" fillId="2" borderId="0" xfId="0" applyNumberFormat="1" applyFont="1" applyFill="1" applyAlignment="1">
      <alignment horizontal="right"/>
    </xf>
    <xf numFmtId="2" fontId="3" fillId="2" borderId="7" xfId="0" applyNumberFormat="1" applyFont="1" applyFill="1" applyBorder="1" applyAlignment="1">
      <alignment horizontal="right"/>
    </xf>
    <xf numFmtId="2" fontId="3" fillId="2" borderId="7" xfId="0" applyNumberFormat="1" applyFont="1" applyFill="1" applyBorder="1" applyAlignment="1">
      <alignment horizontal="center"/>
    </xf>
    <xf numFmtId="10" fontId="4" fillId="10" borderId="0" xfId="1" applyNumberFormat="1" applyFont="1" applyFill="1"/>
    <xf numFmtId="216" fontId="28" fillId="7" borderId="0" xfId="0" applyNumberFormat="1" applyFont="1" applyFill="1"/>
    <xf numFmtId="217" fontId="4" fillId="10" borderId="0" xfId="0" applyNumberFormat="1" applyFont="1" applyFill="1"/>
    <xf numFmtId="9" fontId="28" fillId="7" borderId="1" xfId="1" applyFont="1" applyFill="1" applyBorder="1"/>
    <xf numFmtId="218" fontId="28" fillId="7" borderId="0" xfId="0" applyNumberFormat="1" applyFont="1" applyFill="1"/>
    <xf numFmtId="219" fontId="4" fillId="10" borderId="0" xfId="0" applyNumberFormat="1" applyFont="1" applyFill="1" applyAlignment="1">
      <alignment horizontal="left" indent="2"/>
    </xf>
    <xf numFmtId="174" fontId="2" fillId="21" borderId="0" xfId="0" applyNumberFormat="1" applyFont="1" applyFill="1"/>
    <xf numFmtId="171" fontId="4" fillId="21" borderId="13" xfId="0" applyNumberFormat="1" applyFont="1" applyFill="1" applyBorder="1"/>
    <xf numFmtId="171" fontId="4" fillId="21" borderId="0" xfId="0" applyNumberFormat="1" applyFont="1" applyFill="1"/>
    <xf numFmtId="218" fontId="4" fillId="21" borderId="0" xfId="0" applyNumberFormat="1" applyFont="1" applyFill="1"/>
    <xf numFmtId="9" fontId="4" fillId="21" borderId="1" xfId="1" applyFont="1" applyFill="1" applyBorder="1"/>
    <xf numFmtId="218" fontId="28" fillId="7" borderId="1" xfId="0" applyNumberFormat="1" applyFont="1" applyFill="1" applyBorder="1"/>
    <xf numFmtId="171" fontId="28" fillId="7" borderId="1" xfId="0" applyNumberFormat="1" applyFont="1" applyFill="1" applyBorder="1"/>
    <xf numFmtId="218" fontId="4" fillId="21" borderId="1" xfId="0" applyNumberFormat="1" applyFont="1" applyFill="1" applyBorder="1"/>
    <xf numFmtId="183" fontId="21" fillId="11" borderId="0" xfId="0" applyNumberFormat="1" applyFont="1" applyFill="1" applyAlignment="1">
      <alignment horizontal="right"/>
    </xf>
    <xf numFmtId="1" fontId="4" fillId="10" borderId="0" xfId="0" applyNumberFormat="1" applyFont="1" applyFill="1" applyAlignment="1">
      <alignment horizontal="left" indent="2"/>
    </xf>
    <xf numFmtId="2" fontId="4" fillId="21" borderId="23" xfId="0" applyNumberFormat="1" applyFont="1" applyFill="1" applyBorder="1"/>
    <xf numFmtId="166" fontId="51" fillId="21" borderId="0" xfId="1" applyNumberFormat="1" applyFont="1" applyFill="1" applyBorder="1" applyProtection="1"/>
    <xf numFmtId="2" fontId="4" fillId="21" borderId="0" xfId="0" applyNumberFormat="1" applyFont="1" applyFill="1"/>
    <xf numFmtId="214" fontId="4" fillId="21" borderId="0" xfId="1" applyNumberFormat="1" applyFont="1" applyFill="1" applyBorder="1" applyAlignment="1">
      <alignment horizontal="right"/>
    </xf>
    <xf numFmtId="2" fontId="4" fillId="21" borderId="21" xfId="0" applyNumberFormat="1" applyFont="1" applyFill="1" applyBorder="1"/>
    <xf numFmtId="214" fontId="4" fillId="21" borderId="0" xfId="1" applyNumberFormat="1" applyFont="1" applyFill="1" applyBorder="1"/>
    <xf numFmtId="166" fontId="51" fillId="21" borderId="0" xfId="1" applyNumberFormat="1" applyFont="1" applyFill="1" applyBorder="1"/>
    <xf numFmtId="220" fontId="4" fillId="10" borderId="0" xfId="0" applyNumberFormat="1" applyFont="1" applyFill="1"/>
    <xf numFmtId="0" fontId="51" fillId="10" borderId="0" xfId="7" applyFont="1" applyFill="1" applyAlignment="1">
      <alignment horizontal="left" vertical="center" indent="2"/>
    </xf>
    <xf numFmtId="0" fontId="51" fillId="10" borderId="0" xfId="0" applyFont="1" applyFill="1" applyAlignment="1">
      <alignment horizontal="left" vertical="center" indent="2"/>
    </xf>
    <xf numFmtId="0" fontId="51" fillId="10" borderId="0" xfId="6" applyFont="1" applyFill="1" applyAlignment="1">
      <alignment horizontal="left" vertical="center"/>
    </xf>
    <xf numFmtId="0" fontId="51" fillId="10" borderId="0" xfId="0" applyFont="1" applyFill="1" applyAlignment="1">
      <alignment horizontal="left" vertical="center"/>
    </xf>
    <xf numFmtId="0" fontId="68" fillId="10" borderId="0" xfId="0" applyFont="1" applyFill="1" applyAlignment="1">
      <alignment vertical="center"/>
    </xf>
    <xf numFmtId="169" fontId="68" fillId="10" borderId="0" xfId="2" applyNumberFormat="1" applyFont="1" applyFill="1" applyAlignment="1" applyProtection="1">
      <alignment horizontal="right" vertical="center"/>
    </xf>
    <xf numFmtId="0" fontId="8" fillId="10" borderId="0" xfId="0" applyFont="1" applyFill="1" applyAlignment="1">
      <alignment horizontal="left"/>
    </xf>
    <xf numFmtId="217" fontId="29" fillId="7" borderId="13" xfId="0" applyNumberFormat="1" applyFont="1" applyFill="1" applyBorder="1"/>
    <xf numFmtId="217" fontId="28" fillId="7" borderId="13" xfId="0" applyNumberFormat="1" applyFont="1" applyFill="1" applyBorder="1"/>
    <xf numFmtId="217" fontId="4" fillId="10" borderId="1" xfId="0" applyNumberFormat="1" applyFont="1" applyFill="1" applyBorder="1"/>
    <xf numFmtId="164" fontId="2" fillId="10" borderId="0" xfId="0" applyNumberFormat="1" applyFont="1" applyFill="1"/>
    <xf numFmtId="2" fontId="69" fillId="2" borderId="0" xfId="0" applyNumberFormat="1" applyFont="1" applyFill="1"/>
    <xf numFmtId="181" fontId="31" fillId="9" borderId="0" xfId="0" applyNumberFormat="1" applyFont="1" applyFill="1" applyAlignment="1">
      <alignment horizontal="left" indent="1"/>
    </xf>
    <xf numFmtId="198" fontId="21" fillId="10" borderId="0" xfId="0" applyNumberFormat="1" applyFont="1" applyFill="1"/>
    <xf numFmtId="198" fontId="21" fillId="10" borderId="36" xfId="0" applyNumberFormat="1" applyFont="1" applyFill="1" applyBorder="1"/>
    <xf numFmtId="198" fontId="21" fillId="10" borderId="4" xfId="0" applyNumberFormat="1" applyFont="1" applyFill="1" applyBorder="1"/>
    <xf numFmtId="198" fontId="21" fillId="10" borderId="33" xfId="0" applyNumberFormat="1" applyFont="1" applyFill="1" applyBorder="1"/>
    <xf numFmtId="198" fontId="31" fillId="10" borderId="0" xfId="0" applyNumberFormat="1" applyFont="1" applyFill="1"/>
    <xf numFmtId="198" fontId="36" fillId="10" borderId="33" xfId="0" applyNumberFormat="1" applyFont="1" applyFill="1" applyBorder="1"/>
    <xf numFmtId="198" fontId="36" fillId="10" borderId="0" xfId="0" applyNumberFormat="1" applyFont="1" applyFill="1"/>
    <xf numFmtId="198" fontId="31" fillId="10" borderId="1" xfId="0" applyNumberFormat="1" applyFont="1" applyFill="1" applyBorder="1"/>
    <xf numFmtId="198" fontId="36" fillId="10" borderId="32" xfId="0" applyNumberFormat="1" applyFont="1" applyFill="1" applyBorder="1"/>
    <xf numFmtId="198" fontId="36" fillId="10" borderId="1" xfId="0" applyNumberFormat="1" applyFont="1" applyFill="1" applyBorder="1"/>
    <xf numFmtId="198" fontId="36" fillId="10" borderId="36" xfId="0" applyNumberFormat="1" applyFont="1" applyFill="1" applyBorder="1"/>
    <xf numFmtId="198" fontId="36" fillId="10" borderId="4" xfId="0" applyNumberFormat="1" applyFont="1" applyFill="1" applyBorder="1"/>
    <xf numFmtId="202" fontId="47" fillId="8" borderId="0" xfId="0" applyNumberFormat="1" applyFont="1" applyFill="1" applyAlignment="1">
      <alignment horizontal="right"/>
    </xf>
    <xf numFmtId="0" fontId="32" fillId="22" borderId="1" xfId="0" applyFont="1" applyFill="1" applyBorder="1"/>
    <xf numFmtId="0" fontId="36" fillId="22" borderId="0" xfId="0" applyFont="1" applyFill="1"/>
    <xf numFmtId="0" fontId="36" fillId="22" borderId="0" xfId="0" applyFont="1" applyFill="1" applyAlignment="1">
      <alignment horizontal="left"/>
    </xf>
    <xf numFmtId="205" fontId="21" fillId="22" borderId="0" xfId="0" applyNumberFormat="1" applyFont="1" applyFill="1"/>
    <xf numFmtId="185" fontId="21" fillId="22" borderId="0" xfId="0" applyNumberFormat="1" applyFont="1" applyFill="1"/>
    <xf numFmtId="196" fontId="21" fillId="22" borderId="0" xfId="0" applyNumberFormat="1" applyFont="1" applyFill="1" applyAlignment="1">
      <alignment horizontal="right" vertical="distributed"/>
    </xf>
    <xf numFmtId="200" fontId="36" fillId="22" borderId="0" xfId="0" applyNumberFormat="1" applyFont="1" applyFill="1"/>
    <xf numFmtId="166" fontId="36" fillId="22" borderId="0" xfId="0" applyNumberFormat="1" applyFont="1" applyFill="1"/>
    <xf numFmtId="0" fontId="22" fillId="11" borderId="1" xfId="0" applyFont="1" applyFill="1" applyBorder="1"/>
    <xf numFmtId="10" fontId="61" fillId="22" borderId="0" xfId="0" applyNumberFormat="1" applyFont="1" applyFill="1"/>
    <xf numFmtId="10" fontId="22" fillId="0" borderId="0" xfId="0" applyNumberFormat="1" applyFont="1" applyAlignment="1">
      <alignment vertical="center"/>
    </xf>
    <xf numFmtId="0" fontId="0" fillId="7" borderId="0" xfId="0" applyFill="1" applyAlignment="1">
      <alignment horizontal="right"/>
    </xf>
    <xf numFmtId="167" fontId="4" fillId="0" borderId="0" xfId="0" applyNumberFormat="1" applyFont="1" applyAlignment="1">
      <alignment horizontal="right"/>
    </xf>
    <xf numFmtId="167" fontId="4" fillId="7" borderId="0" xfId="0" applyNumberFormat="1" applyFont="1" applyFill="1" applyAlignment="1">
      <alignment horizontal="right"/>
    </xf>
    <xf numFmtId="165" fontId="4" fillId="7" borderId="0" xfId="0" applyNumberFormat="1" applyFont="1" applyFill="1" applyAlignment="1">
      <alignment horizontal="right"/>
    </xf>
    <xf numFmtId="165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2" fontId="2" fillId="7" borderId="0" xfId="0" applyNumberFormat="1" applyFont="1" applyFill="1" applyAlignment="1">
      <alignment horizontal="right"/>
    </xf>
    <xf numFmtId="167" fontId="4" fillId="7" borderId="0" xfId="0" applyNumberFormat="1" applyFont="1" applyFill="1"/>
    <xf numFmtId="165" fontId="4" fillId="7" borderId="0" xfId="0" applyNumberFormat="1" applyFont="1" applyFill="1"/>
    <xf numFmtId="2" fontId="2" fillId="4" borderId="0" xfId="0" applyNumberFormat="1" applyFont="1" applyFill="1"/>
    <xf numFmtId="194" fontId="0" fillId="0" borderId="15" xfId="0" applyNumberFormat="1" applyBorder="1"/>
    <xf numFmtId="194" fontId="0" fillId="0" borderId="0" xfId="0" applyNumberFormat="1"/>
    <xf numFmtId="194" fontId="0" fillId="0" borderId="13" xfId="0" applyNumberFormat="1" applyBorder="1"/>
    <xf numFmtId="1" fontId="0" fillId="0" borderId="15" xfId="0" applyNumberFormat="1" applyBorder="1"/>
    <xf numFmtId="1" fontId="0" fillId="0" borderId="0" xfId="0" applyNumberFormat="1"/>
    <xf numFmtId="1" fontId="0" fillId="0" borderId="13" xfId="0" applyNumberFormat="1" applyBorder="1"/>
    <xf numFmtId="2" fontId="4" fillId="0" borderId="15" xfId="1" applyNumberFormat="1" applyFont="1" applyBorder="1" applyAlignment="1">
      <alignment horizontal="right"/>
    </xf>
    <xf numFmtId="2" fontId="4" fillId="0" borderId="13" xfId="1" applyNumberFormat="1" applyFont="1" applyBorder="1" applyAlignment="1">
      <alignment horizontal="right"/>
    </xf>
    <xf numFmtId="1" fontId="0" fillId="0" borderId="4" xfId="0" applyNumberFormat="1" applyBorder="1"/>
    <xf numFmtId="1" fontId="0" fillId="0" borderId="5" xfId="0" applyNumberFormat="1" applyBorder="1"/>
    <xf numFmtId="1" fontId="0" fillId="0" borderId="7" xfId="0" applyNumberFormat="1" applyBorder="1"/>
    <xf numFmtId="1" fontId="0" fillId="0" borderId="1" xfId="0" applyNumberFormat="1" applyBorder="1"/>
    <xf numFmtId="1" fontId="0" fillId="0" borderId="9" xfId="0" applyNumberFormat="1" applyBorder="1"/>
    <xf numFmtId="166" fontId="0" fillId="0" borderId="15" xfId="1" applyNumberFormat="1" applyFont="1" applyBorder="1"/>
    <xf numFmtId="166" fontId="0" fillId="0" borderId="13" xfId="1" applyNumberFormat="1" applyFont="1" applyBorder="1"/>
    <xf numFmtId="164" fontId="0" fillId="0" borderId="0" xfId="0" applyNumberFormat="1"/>
    <xf numFmtId="0" fontId="72" fillId="2" borderId="0" xfId="0" applyFont="1" applyFill="1"/>
    <xf numFmtId="0" fontId="2" fillId="21" borderId="0" xfId="0" applyFont="1" applyFill="1" applyAlignment="1">
      <alignment horizontal="center"/>
    </xf>
    <xf numFmtId="9" fontId="2" fillId="21" borderId="0" xfId="1" applyFont="1" applyFill="1" applyAlignment="1">
      <alignment horizontal="center"/>
    </xf>
    <xf numFmtId="215" fontId="2" fillId="21" borderId="0" xfId="0" applyNumberFormat="1" applyFont="1" applyFill="1"/>
    <xf numFmtId="167" fontId="0" fillId="21" borderId="0" xfId="0" applyNumberFormat="1" applyFill="1"/>
    <xf numFmtId="167" fontId="4" fillId="21" borderId="0" xfId="0" applyNumberFormat="1" applyFont="1" applyFill="1"/>
    <xf numFmtId="213" fontId="2" fillId="21" borderId="0" xfId="0" applyNumberFormat="1" applyFont="1" applyFill="1"/>
    <xf numFmtId="9" fontId="2" fillId="21" borderId="0" xfId="1" applyFont="1" applyFill="1"/>
    <xf numFmtId="2" fontId="4" fillId="21" borderId="15" xfId="1" applyNumberFormat="1" applyFont="1" applyFill="1" applyBorder="1" applyAlignment="1">
      <alignment horizontal="right"/>
    </xf>
    <xf numFmtId="2" fontId="4" fillId="21" borderId="13" xfId="1" applyNumberFormat="1" applyFont="1" applyFill="1" applyBorder="1" applyAlignment="1">
      <alignment horizontal="right"/>
    </xf>
    <xf numFmtId="9" fontId="4" fillId="21" borderId="0" xfId="1" applyFont="1" applyFill="1" applyAlignment="1">
      <alignment horizontal="right"/>
    </xf>
    <xf numFmtId="9" fontId="4" fillId="21" borderId="0" xfId="0" applyNumberFormat="1" applyFont="1" applyFill="1" applyAlignment="1">
      <alignment horizontal="right"/>
    </xf>
    <xf numFmtId="9" fontId="2" fillId="21" borderId="0" xfId="0" applyNumberFormat="1" applyFont="1" applyFill="1"/>
    <xf numFmtId="194" fontId="0" fillId="21" borderId="15" xfId="0" applyNumberFormat="1" applyFill="1" applyBorder="1"/>
    <xf numFmtId="194" fontId="0" fillId="21" borderId="0" xfId="0" applyNumberFormat="1" applyFill="1"/>
    <xf numFmtId="194" fontId="0" fillId="21" borderId="13" xfId="0" applyNumberFormat="1" applyFill="1" applyBorder="1"/>
    <xf numFmtId="2" fontId="4" fillId="21" borderId="0" xfId="0" applyNumberFormat="1" applyFont="1" applyFill="1" applyAlignment="1">
      <alignment horizontal="right"/>
    </xf>
    <xf numFmtId="2" fontId="0" fillId="21" borderId="15" xfId="0" applyNumberFormat="1" applyFill="1" applyBorder="1"/>
    <xf numFmtId="2" fontId="0" fillId="21" borderId="0" xfId="0" applyNumberFormat="1" applyFill="1"/>
    <xf numFmtId="2" fontId="0" fillId="21" borderId="13" xfId="0" applyNumberFormat="1" applyFill="1" applyBorder="1"/>
    <xf numFmtId="0" fontId="3" fillId="2" borderId="0" xfId="0" applyFont="1" applyFill="1" applyAlignment="1">
      <alignment horizontal="right"/>
    </xf>
    <xf numFmtId="194" fontId="0" fillId="0" borderId="15" xfId="0" applyNumberFormat="1" applyBorder="1" applyAlignment="1">
      <alignment horizontal="right"/>
    </xf>
    <xf numFmtId="1" fontId="0" fillId="0" borderId="15" xfId="0" applyNumberFormat="1" applyBorder="1" applyAlignment="1">
      <alignment horizontal="right"/>
    </xf>
    <xf numFmtId="19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94" fontId="0" fillId="0" borderId="13" xfId="0" applyNumberFormat="1" applyBorder="1" applyAlignment="1">
      <alignment horizontal="right"/>
    </xf>
    <xf numFmtId="1" fontId="0" fillId="0" borderId="13" xfId="0" applyNumberFormat="1" applyBorder="1" applyAlignment="1">
      <alignment horizontal="right"/>
    </xf>
    <xf numFmtId="2" fontId="2" fillId="21" borderId="0" xfId="0" applyNumberFormat="1" applyFont="1" applyFill="1" applyAlignment="1">
      <alignment horizontal="right"/>
    </xf>
    <xf numFmtId="9" fontId="2" fillId="21" borderId="0" xfId="1" applyFont="1" applyFill="1" applyAlignment="1">
      <alignment horizontal="right"/>
    </xf>
    <xf numFmtId="194" fontId="0" fillId="21" borderId="13" xfId="0" applyNumberFormat="1" applyFill="1" applyBorder="1" applyAlignment="1">
      <alignment horizontal="right"/>
    </xf>
    <xf numFmtId="194" fontId="0" fillId="21" borderId="15" xfId="0" applyNumberFormat="1" applyFill="1" applyBorder="1" applyAlignment="1">
      <alignment horizontal="right"/>
    </xf>
    <xf numFmtId="194" fontId="0" fillId="21" borderId="0" xfId="0" applyNumberFormat="1" applyFill="1" applyAlignment="1">
      <alignment horizontal="right"/>
    </xf>
    <xf numFmtId="167" fontId="0" fillId="21" borderId="0" xfId="0" applyNumberFormat="1" applyFill="1" applyAlignment="1">
      <alignment horizontal="right"/>
    </xf>
    <xf numFmtId="2" fontId="0" fillId="21" borderId="4" xfId="1" applyNumberFormat="1" applyFont="1" applyFill="1" applyBorder="1"/>
    <xf numFmtId="2" fontId="0" fillId="21" borderId="0" xfId="1" applyNumberFormat="1" applyFont="1" applyFill="1"/>
    <xf numFmtId="2" fontId="0" fillId="21" borderId="1" xfId="1" applyNumberFormat="1" applyFont="1" applyFill="1" applyBorder="1"/>
    <xf numFmtId="2" fontId="4" fillId="0" borderId="47" xfId="1" applyNumberFormat="1" applyFont="1" applyBorder="1" applyAlignment="1">
      <alignment horizontal="right"/>
    </xf>
    <xf numFmtId="2" fontId="4" fillId="0" borderId="48" xfId="1" applyNumberFormat="1" applyFont="1" applyBorder="1" applyAlignment="1">
      <alignment horizontal="right"/>
    </xf>
    <xf numFmtId="170" fontId="2" fillId="21" borderId="0" xfId="0" applyNumberFormat="1" applyFont="1" applyFill="1"/>
    <xf numFmtId="9" fontId="4" fillId="21" borderId="0" xfId="1" applyFont="1" applyFill="1" applyAlignment="1"/>
    <xf numFmtId="9" fontId="4" fillId="0" borderId="0" xfId="0" applyNumberFormat="1" applyFont="1"/>
    <xf numFmtId="9" fontId="4" fillId="21" borderId="0" xfId="0" applyNumberFormat="1" applyFont="1" applyFill="1"/>
    <xf numFmtId="9" fontId="4" fillId="21" borderId="15" xfId="1" applyFont="1" applyFill="1" applyBorder="1" applyAlignment="1">
      <alignment horizontal="right"/>
    </xf>
    <xf numFmtId="9" fontId="4" fillId="0" borderId="15" xfId="1" applyFont="1" applyBorder="1" applyAlignment="1">
      <alignment horizontal="right"/>
    </xf>
    <xf numFmtId="9" fontId="4" fillId="21" borderId="13" xfId="1" applyFont="1" applyFill="1" applyBorder="1" applyAlignment="1">
      <alignment horizontal="right"/>
    </xf>
    <xf numFmtId="9" fontId="4" fillId="0" borderId="13" xfId="1" applyFont="1" applyBorder="1" applyAlignment="1">
      <alignment horizontal="right"/>
    </xf>
    <xf numFmtId="9" fontId="0" fillId="21" borderId="15" xfId="1" applyFont="1" applyFill="1" applyBorder="1"/>
    <xf numFmtId="9" fontId="0" fillId="0" borderId="15" xfId="1" applyFont="1" applyBorder="1"/>
    <xf numFmtId="9" fontId="0" fillId="21" borderId="0" xfId="1" applyFont="1" applyFill="1"/>
    <xf numFmtId="9" fontId="0" fillId="21" borderId="13" xfId="1" applyFont="1" applyFill="1" applyBorder="1"/>
    <xf numFmtId="9" fontId="0" fillId="0" borderId="13" xfId="1" applyFont="1" applyBorder="1"/>
    <xf numFmtId="194" fontId="4" fillId="21" borderId="15" xfId="1" applyNumberFormat="1" applyFont="1" applyFill="1" applyBorder="1" applyAlignment="1">
      <alignment horizontal="right"/>
    </xf>
    <xf numFmtId="194" fontId="4" fillId="21" borderId="13" xfId="1" applyNumberFormat="1" applyFont="1" applyFill="1" applyBorder="1" applyAlignment="1">
      <alignment horizontal="right"/>
    </xf>
    <xf numFmtId="194" fontId="3" fillId="2" borderId="0" xfId="0" applyNumberFormat="1" applyFont="1" applyFill="1"/>
    <xf numFmtId="194" fontId="4" fillId="21" borderId="0" xfId="0" applyNumberFormat="1" applyFont="1" applyFill="1" applyAlignment="1">
      <alignment horizontal="right"/>
    </xf>
    <xf numFmtId="9" fontId="3" fillId="2" borderId="0" xfId="1" applyFont="1" applyFill="1"/>
    <xf numFmtId="194" fontId="4" fillId="21" borderId="0" xfId="0" applyNumberFormat="1" applyFont="1" applyFill="1"/>
    <xf numFmtId="194" fontId="4" fillId="0" borderId="15" xfId="1" applyNumberFormat="1" applyFont="1" applyBorder="1" applyAlignment="1">
      <alignment horizontal="right"/>
    </xf>
    <xf numFmtId="194" fontId="4" fillId="0" borderId="13" xfId="1" applyNumberFormat="1" applyFont="1" applyBorder="1" applyAlignment="1">
      <alignment horizontal="right"/>
    </xf>
    <xf numFmtId="194" fontId="4" fillId="0" borderId="0" xfId="0" applyNumberFormat="1" applyFont="1" applyAlignment="1">
      <alignment horizontal="right"/>
    </xf>
    <xf numFmtId="194" fontId="3" fillId="2" borderId="0" xfId="0" applyNumberFormat="1" applyFont="1" applyFill="1" applyAlignment="1">
      <alignment horizontal="right"/>
    </xf>
    <xf numFmtId="9" fontId="0" fillId="0" borderId="0" xfId="0" applyNumberFormat="1"/>
    <xf numFmtId="9" fontId="3" fillId="2" borderId="0" xfId="0" applyNumberFormat="1" applyFont="1" applyFill="1"/>
    <xf numFmtId="9" fontId="0" fillId="21" borderId="0" xfId="0" applyNumberFormat="1" applyFill="1" applyAlignment="1">
      <alignment horizontal="right"/>
    </xf>
    <xf numFmtId="9" fontId="0" fillId="0" borderId="0" xfId="0" applyNumberFormat="1" applyAlignment="1">
      <alignment horizontal="right"/>
    </xf>
    <xf numFmtId="9" fontId="3" fillId="2" borderId="0" xfId="0" applyNumberFormat="1" applyFont="1" applyFill="1" applyAlignment="1">
      <alignment horizontal="right"/>
    </xf>
    <xf numFmtId="9" fontId="0" fillId="21" borderId="15" xfId="1" applyFont="1" applyFill="1" applyBorder="1" applyAlignment="1">
      <alignment horizontal="right"/>
    </xf>
    <xf numFmtId="9" fontId="0" fillId="21" borderId="0" xfId="1" applyFont="1" applyFill="1" applyAlignment="1">
      <alignment horizontal="right"/>
    </xf>
    <xf numFmtId="9" fontId="0" fillId="21" borderId="13" xfId="1" applyFont="1" applyFill="1" applyBorder="1" applyAlignment="1">
      <alignment horizontal="right"/>
    </xf>
    <xf numFmtId="194" fontId="2" fillId="21" borderId="0" xfId="1" applyNumberFormat="1" applyFont="1" applyFill="1" applyAlignment="1">
      <alignment horizontal="right"/>
    </xf>
    <xf numFmtId="194" fontId="2" fillId="0" borderId="0" xfId="0" applyNumberFormat="1" applyFont="1" applyAlignment="1">
      <alignment horizontal="center"/>
    </xf>
    <xf numFmtId="194" fontId="2" fillId="2" borderId="0" xfId="0" applyNumberFormat="1" applyFont="1" applyFill="1" applyAlignment="1">
      <alignment horizontal="center"/>
    </xf>
    <xf numFmtId="194" fontId="4" fillId="21" borderId="0" xfId="1" applyNumberFormat="1" applyFont="1" applyFill="1" applyAlignment="1">
      <alignment horizontal="right"/>
    </xf>
    <xf numFmtId="194" fontId="2" fillId="21" borderId="0" xfId="0" applyNumberFormat="1" applyFont="1" applyFill="1" applyAlignment="1">
      <alignment horizontal="right"/>
    </xf>
    <xf numFmtId="9" fontId="0" fillId="0" borderId="0" xfId="1" applyFont="1" applyAlignment="1">
      <alignment horizontal="right"/>
    </xf>
    <xf numFmtId="9" fontId="3" fillId="2" borderId="0" xfId="1" applyFont="1" applyFill="1" applyAlignment="1">
      <alignment horizontal="right"/>
    </xf>
    <xf numFmtId="9" fontId="0" fillId="2" borderId="0" xfId="1" applyFont="1" applyFill="1"/>
    <xf numFmtId="2" fontId="2" fillId="21" borderId="0" xfId="0" applyNumberFormat="1" applyFont="1" applyFill="1"/>
    <xf numFmtId="164" fontId="6" fillId="21" borderId="0" xfId="0" applyNumberFormat="1" applyFont="1" applyFill="1" applyAlignment="1">
      <alignment horizontal="right"/>
    </xf>
    <xf numFmtId="164" fontId="6" fillId="21" borderId="2" xfId="0" applyNumberFormat="1" applyFont="1" applyFill="1" applyBorder="1" applyAlignment="1">
      <alignment horizontal="right"/>
    </xf>
    <xf numFmtId="0" fontId="73" fillId="2" borderId="0" xfId="0" applyFont="1" applyFill="1"/>
    <xf numFmtId="0" fontId="12" fillId="2" borderId="0" xfId="0" applyFont="1" applyFill="1"/>
    <xf numFmtId="0" fontId="74" fillId="2" borderId="0" xfId="0" applyFont="1" applyFill="1"/>
    <xf numFmtId="0" fontId="75" fillId="2" borderId="0" xfId="0" applyFont="1" applyFill="1"/>
    <xf numFmtId="0" fontId="76" fillId="2" borderId="0" xfId="0" applyFont="1" applyFill="1"/>
    <xf numFmtId="0" fontId="77" fillId="8" borderId="0" xfId="0" applyFont="1" applyFill="1" applyAlignment="1">
      <alignment horizontal="center"/>
    </xf>
    <xf numFmtId="0" fontId="77" fillId="2" borderId="0" xfId="0" applyFont="1" applyFill="1" applyAlignment="1">
      <alignment horizontal="center"/>
    </xf>
    <xf numFmtId="0" fontId="78" fillId="21" borderId="0" xfId="0" applyFont="1" applyFill="1"/>
    <xf numFmtId="217" fontId="79" fillId="21" borderId="0" xfId="0" applyNumberFormat="1" applyFont="1" applyFill="1" applyAlignment="1">
      <alignment horizontal="center"/>
    </xf>
    <xf numFmtId="217" fontId="80" fillId="21" borderId="0" xfId="0" applyNumberFormat="1" applyFont="1" applyFill="1" applyAlignment="1">
      <alignment horizontal="center"/>
    </xf>
    <xf numFmtId="217" fontId="80" fillId="22" borderId="0" xfId="0" applyNumberFormat="1" applyFont="1" applyFill="1" applyAlignment="1">
      <alignment horizontal="center"/>
    </xf>
    <xf numFmtId="0" fontId="79" fillId="21" borderId="0" xfId="0" applyFont="1" applyFill="1" applyAlignment="1">
      <alignment vertical="top"/>
    </xf>
    <xf numFmtId="0" fontId="80" fillId="21" borderId="0" xfId="0" applyFont="1" applyFill="1"/>
    <xf numFmtId="0" fontId="12" fillId="0" borderId="0" xfId="0" applyFont="1" applyAlignment="1">
      <alignment horizontal="center"/>
    </xf>
    <xf numFmtId="215" fontId="2" fillId="7" borderId="0" xfId="0" applyNumberFormat="1" applyFont="1" applyFill="1"/>
    <xf numFmtId="213" fontId="2" fillId="7" borderId="0" xfId="0" applyNumberFormat="1" applyFont="1" applyFill="1"/>
    <xf numFmtId="222" fontId="4" fillId="0" borderId="0" xfId="1" applyNumberFormat="1" applyFont="1"/>
    <xf numFmtId="221" fontId="4" fillId="0" borderId="0" xfId="0" applyNumberFormat="1" applyFont="1"/>
    <xf numFmtId="16" fontId="0" fillId="0" borderId="0" xfId="0" applyNumberFormat="1"/>
    <xf numFmtId="2" fontId="3" fillId="2" borderId="3" xfId="0" applyNumberFormat="1" applyFont="1" applyFill="1" applyBorder="1"/>
    <xf numFmtId="2" fontId="3" fillId="2" borderId="4" xfId="0" applyNumberFormat="1" applyFont="1" applyFill="1" applyBorder="1"/>
    <xf numFmtId="2" fontId="3" fillId="2" borderId="4" xfId="0" applyNumberFormat="1" applyFont="1" applyFill="1" applyBorder="1" applyAlignment="1">
      <alignment horizontal="right"/>
    </xf>
    <xf numFmtId="2" fontId="3" fillId="2" borderId="5" xfId="0" applyNumberFormat="1" applyFont="1" applyFill="1" applyBorder="1" applyAlignment="1">
      <alignment horizontal="right"/>
    </xf>
    <xf numFmtId="2" fontId="0" fillId="0" borderId="6" xfId="0" applyNumberFormat="1" applyBorder="1"/>
    <xf numFmtId="2" fontId="2" fillId="0" borderId="7" xfId="0" applyNumberFormat="1" applyFont="1" applyBorder="1"/>
    <xf numFmtId="2" fontId="2" fillId="0" borderId="6" xfId="0" applyNumberFormat="1" applyFont="1" applyBorder="1" applyAlignment="1">
      <alignment horizontal="left"/>
    </xf>
    <xf numFmtId="2" fontId="0" fillId="0" borderId="7" xfId="0" applyNumberFormat="1" applyBorder="1"/>
    <xf numFmtId="2" fontId="0" fillId="0" borderId="6" xfId="0" applyNumberFormat="1" applyBorder="1" applyAlignment="1">
      <alignment horizontal="left" indent="2"/>
    </xf>
    <xf numFmtId="2" fontId="0" fillId="0" borderId="8" xfId="0" applyNumberFormat="1" applyBorder="1" applyAlignment="1">
      <alignment horizontal="left" indent="2"/>
    </xf>
    <xf numFmtId="2" fontId="0" fillId="0" borderId="1" xfId="0" applyNumberFormat="1" applyBorder="1"/>
    <xf numFmtId="2" fontId="0" fillId="0" borderId="9" xfId="0" applyNumberFormat="1" applyBorder="1"/>
    <xf numFmtId="2" fontId="0" fillId="0" borderId="6" xfId="0" applyNumberFormat="1" applyBorder="1" applyAlignment="1">
      <alignment horizontal="left"/>
    </xf>
    <xf numFmtId="2" fontId="0" fillId="0" borderId="10" xfId="0" applyNumberFormat="1" applyBorder="1"/>
    <xf numFmtId="2" fontId="0" fillId="0" borderId="2" xfId="0" applyNumberFormat="1" applyBorder="1"/>
    <xf numFmtId="2" fontId="0" fillId="0" borderId="11" xfId="0" applyNumberFormat="1" applyBorder="1"/>
    <xf numFmtId="2" fontId="2" fillId="0" borderId="8" xfId="0" applyNumberFormat="1" applyFont="1" applyBorder="1"/>
    <xf numFmtId="2" fontId="2" fillId="0" borderId="1" xfId="0" applyNumberFormat="1" applyFont="1" applyBorder="1"/>
    <xf numFmtId="2" fontId="0" fillId="0" borderId="3" xfId="0" applyNumberFormat="1" applyBorder="1"/>
    <xf numFmtId="2" fontId="0" fillId="0" borderId="4" xfId="0" applyNumberFormat="1" applyBorder="1"/>
    <xf numFmtId="2" fontId="0" fillId="0" borderId="5" xfId="0" applyNumberFormat="1" applyBorder="1"/>
    <xf numFmtId="2" fontId="2" fillId="0" borderId="6" xfId="0" applyNumberFormat="1" applyFont="1" applyBorder="1"/>
    <xf numFmtId="2" fontId="2" fillId="0" borderId="6" xfId="0" applyNumberFormat="1" applyFont="1" applyBorder="1" applyAlignment="1">
      <alignment horizontal="left" indent="2"/>
    </xf>
    <xf numFmtId="2" fontId="0" fillId="0" borderId="6" xfId="0" applyNumberFormat="1" applyBorder="1" applyAlignment="1">
      <alignment horizontal="left" indent="4"/>
    </xf>
    <xf numFmtId="2" fontId="0" fillId="0" borderId="0" xfId="0" applyNumberFormat="1" applyAlignment="1">
      <alignment horizontal="left" indent="2"/>
    </xf>
    <xf numFmtId="2" fontId="2" fillId="0" borderId="8" xfId="0" applyNumberFormat="1" applyFont="1" applyBorder="1" applyAlignment="1">
      <alignment horizontal="left" indent="2"/>
    </xf>
    <xf numFmtId="2" fontId="0" fillId="0" borderId="0" xfId="0" applyNumberFormat="1" applyAlignment="1">
      <alignment horizontal="left"/>
    </xf>
    <xf numFmtId="9" fontId="5" fillId="0" borderId="0" xfId="1" applyFont="1" applyBorder="1"/>
    <xf numFmtId="9" fontId="5" fillId="0" borderId="7" xfId="1" applyFont="1" applyBorder="1"/>
    <xf numFmtId="9" fontId="5" fillId="0" borderId="1" xfId="1" applyFont="1" applyBorder="1"/>
    <xf numFmtId="9" fontId="5" fillId="0" borderId="9" xfId="1" applyFont="1" applyBorder="1"/>
    <xf numFmtId="2" fontId="2" fillId="0" borderId="49" xfId="0" applyNumberFormat="1" applyFont="1" applyBorder="1"/>
    <xf numFmtId="0" fontId="4" fillId="0" borderId="0" xfId="0" applyFont="1" applyAlignment="1">
      <alignment horizontal="right"/>
    </xf>
    <xf numFmtId="0" fontId="2" fillId="0" borderId="8" xfId="0" applyFont="1" applyBorder="1" applyAlignment="1">
      <alignment horizontal="left"/>
    </xf>
    <xf numFmtId="0" fontId="2" fillId="0" borderId="9" xfId="0" applyFont="1" applyBorder="1"/>
    <xf numFmtId="0" fontId="82" fillId="0" borderId="0" xfId="9"/>
    <xf numFmtId="0" fontId="85" fillId="0" borderId="0" xfId="0" applyFont="1" applyAlignment="1">
      <alignment horizontal="right"/>
    </xf>
    <xf numFmtId="3" fontId="84" fillId="0" borderId="0" xfId="0" applyNumberFormat="1" applyFont="1" applyAlignment="1">
      <alignment horizontal="right"/>
    </xf>
    <xf numFmtId="1" fontId="84" fillId="0" borderId="0" xfId="0" applyNumberFormat="1" applyFont="1" applyAlignment="1">
      <alignment horizontal="right"/>
    </xf>
    <xf numFmtId="0" fontId="81" fillId="0" borderId="0" xfId="0" applyFont="1"/>
    <xf numFmtId="0" fontId="86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87" fillId="0" borderId="0" xfId="0" applyFont="1"/>
    <xf numFmtId="2" fontId="3" fillId="2" borderId="13" xfId="0" applyNumberFormat="1" applyFont="1" applyFill="1" applyBorder="1" applyAlignment="1">
      <alignment horizontal="center"/>
    </xf>
    <xf numFmtId="0" fontId="48" fillId="8" borderId="0" xfId="0" applyFont="1" applyFill="1" applyAlignment="1">
      <alignment horizontal="center"/>
    </xf>
    <xf numFmtId="166" fontId="48" fillId="8" borderId="0" xfId="0" applyNumberFormat="1" applyFont="1" applyFill="1" applyAlignment="1">
      <alignment horizontal="center"/>
    </xf>
    <xf numFmtId="0" fontId="7" fillId="0" borderId="0" xfId="0" applyFont="1" applyAlignment="1" applyProtection="1">
      <alignment horizontal="center" vertical="distributed" textRotation="90"/>
      <protection locked="0"/>
    </xf>
    <xf numFmtId="0" fontId="50" fillId="0" borderId="1" xfId="0" applyFont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7" fillId="0" borderId="0" xfId="0" applyFont="1" applyAlignment="1" applyProtection="1">
      <alignment horizontal="center" vertical="center" textRotation="90"/>
      <protection locked="0"/>
    </xf>
    <xf numFmtId="2" fontId="3" fillId="2" borderId="33" xfId="0" applyNumberFormat="1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0" fontId="47" fillId="8" borderId="0" xfId="0" applyFont="1" applyFill="1" applyAlignment="1">
      <alignment horizontal="center"/>
    </xf>
    <xf numFmtId="0" fontId="22" fillId="0" borderId="1" xfId="0" applyFont="1" applyBorder="1" applyAlignment="1">
      <alignment horizontal="center"/>
    </xf>
    <xf numFmtId="0" fontId="42" fillId="0" borderId="0" xfId="0" applyFont="1" applyAlignment="1" applyProtection="1">
      <alignment horizontal="right" vertical="center" textRotation="90"/>
      <protection locked="0"/>
    </xf>
    <xf numFmtId="0" fontId="0" fillId="0" borderId="1" xfId="0" applyBorder="1" applyAlignment="1">
      <alignment horizontal="center"/>
    </xf>
    <xf numFmtId="0" fontId="3" fillId="2" borderId="0" xfId="0" applyFont="1" applyFill="1" applyAlignment="1">
      <alignment horizontal="center"/>
    </xf>
    <xf numFmtId="0" fontId="26" fillId="10" borderId="25" xfId="3" applyFont="1" applyFill="1" applyBorder="1" applyAlignment="1" applyProtection="1">
      <alignment horizontal="center"/>
    </xf>
    <xf numFmtId="0" fontId="22" fillId="10" borderId="25" xfId="3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right" vertical="distributed" textRotation="90"/>
      <protection locked="0"/>
    </xf>
    <xf numFmtId="166" fontId="48" fillId="8" borderId="0" xfId="0" applyNumberFormat="1" applyFont="1" applyFill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2" fontId="3" fillId="3" borderId="0" xfId="0" applyNumberFormat="1" applyFont="1" applyFill="1" applyAlignment="1">
      <alignment horizontal="center"/>
    </xf>
    <xf numFmtId="2" fontId="3" fillId="3" borderId="33" xfId="0" applyNumberFormat="1" applyFont="1" applyFill="1" applyBorder="1" applyAlignment="1">
      <alignment horizontal="center"/>
    </xf>
    <xf numFmtId="164" fontId="0" fillId="10" borderId="50" xfId="0" applyNumberFormat="1" applyFill="1" applyBorder="1"/>
  </cellXfs>
  <cellStyles count="10">
    <cellStyle name="_x000a_386grabber=M" xfId="2" xr:uid="{B13654D8-D021-6646-A910-A6B831F7619B}"/>
    <cellStyle name="AFE" xfId="3" xr:uid="{B706F32E-27DD-A647-BD52-6EFBC05A0DBC}"/>
    <cellStyle name="Hyperlink" xfId="9" builtinId="8"/>
    <cellStyle name="Normal" xfId="0" builtinId="0"/>
    <cellStyle name="Normal_Ch01 Pics v2.2" xfId="4" xr:uid="{E1531C80-E852-4749-95A8-5F1B7D95146C}"/>
    <cellStyle name="Normal_Ch03 Pics" xfId="6" xr:uid="{BF96D283-5DEA-324B-865C-969EEDEE83A0}"/>
    <cellStyle name="Normal_Ch03 Pics v1.0" xfId="8" xr:uid="{3BEFFECE-1B51-D041-8B7C-EB8FDE1819C7}"/>
    <cellStyle name="Normal_Financials" xfId="5" xr:uid="{A1CD9EA9-B21C-144F-B0D3-E1232430F9E2}"/>
    <cellStyle name="Normal_Input Page2" xfId="7" xr:uid="{2AEACF07-0A1F-284E-BAA7-C8C967A6DD43}"/>
    <cellStyle name="Per cent" xfId="1" builtinId="5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rgb="FF0036FF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66" formatCode="0.0%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 Narrow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ptos Narrow"/>
        <family val="2"/>
        <scheme val="minor"/>
      </font>
    </dxf>
    <dxf>
      <numFmt numFmtId="166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66" formatCode="0.0%"/>
    </dxf>
    <dxf>
      <numFmt numFmtId="19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333333"/>
        <name val="Tahoma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ahoma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Tahoma"/>
        <family val="2"/>
        <scheme val="none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A"/>
      <color rgb="FFEBFFEB"/>
      <color rgb="FFE2FDDB"/>
      <color rgb="FF0036FF"/>
      <color rgb="FFEAFFEB"/>
      <color rgb="FFFFCC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/>
                </a:solidFill>
              </a:rPr>
              <a:t>Sales</a:t>
            </a:r>
            <a:r>
              <a:rPr lang="en-GB" b="1" baseline="0">
                <a:solidFill>
                  <a:schemeClr val="accent6"/>
                </a:solidFill>
              </a:rPr>
              <a:t> of total Market</a:t>
            </a:r>
            <a:endParaRPr lang="en-GB" b="1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6A-1E4F-BA7F-8A1F92DE3C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6A-1E4F-BA7F-8A1F92DE3C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6A-1E4F-BA7F-8A1F92DE3C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6A-1E4F-BA7F-8A1F92DE3C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6A-1E4F-BA7F-8A1F92DE3C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C6A-1E4F-BA7F-8A1F92DE3C15}"/>
              </c:ext>
            </c:extLst>
          </c:dPt>
          <c:cat>
            <c:strRef>
              <c:f>Comparables!$B$254:$B$259</c:f>
              <c:strCache>
                <c:ptCount val="6"/>
                <c:pt idx="0">
                  <c:v>Zara (Inditex)</c:v>
                </c:pt>
                <c:pt idx="1">
                  <c:v>Uniqlo</c:v>
                </c:pt>
                <c:pt idx="2">
                  <c:v>American Eage Outfitters</c:v>
                </c:pt>
                <c:pt idx="3">
                  <c:v>Abercrombie &amp; Fitch</c:v>
                </c:pt>
                <c:pt idx="4">
                  <c:v>Urban Outfitters</c:v>
                </c:pt>
                <c:pt idx="5">
                  <c:v>Other</c:v>
                </c:pt>
              </c:strCache>
            </c:strRef>
          </c:cat>
          <c:val>
            <c:numRef>
              <c:f>Comparables!$C$254:$C$259</c:f>
              <c:numCache>
                <c:formatCode>#,##0;[Red]\(#,##0\);\–</c:formatCode>
                <c:ptCount val="6"/>
                <c:pt idx="0">
                  <c:v>39901.170000000006</c:v>
                </c:pt>
                <c:pt idx="1">
                  <c:v>21010</c:v>
                </c:pt>
                <c:pt idx="2">
                  <c:v>5414</c:v>
                </c:pt>
                <c:pt idx="3">
                  <c:v>4664</c:v>
                </c:pt>
                <c:pt idx="4">
                  <c:v>5153</c:v>
                </c:pt>
                <c:pt idx="5">
                  <c:v>63858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D-F14B-BF40-24EE926D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6">
                    <a:lumMod val="75000"/>
                  </a:schemeClr>
                </a:solidFill>
              </a:rPr>
              <a:t>Real U.S. GDP Growth Rate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'Economic &amp; Market Data'!$D$104</c:f>
              <c:strCache>
                <c:ptCount val="1"/>
                <c:pt idx="0">
                  <c:v>Real GDP Growth Rate (%)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'Economic &amp; Market Data'!$B$105:$B$112</c:f>
              <c:strCach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2025E</c:v>
                </c:pt>
                <c:pt idx="6">
                  <c:v>2026E</c:v>
                </c:pt>
                <c:pt idx="7">
                  <c:v>2027E</c:v>
                </c:pt>
              </c:strCache>
            </c:strRef>
          </c:cat>
          <c:val>
            <c:numRef>
              <c:f>'Economic &amp; Market Data'!$D$105:$D$112</c:f>
              <c:numCache>
                <c:formatCode>0.0%</c:formatCode>
                <c:ptCount val="8"/>
                <c:pt idx="0">
                  <c:v>-3.4000000000000002E-2</c:v>
                </c:pt>
                <c:pt idx="1">
                  <c:v>5.7000000000000002E-2</c:v>
                </c:pt>
                <c:pt idx="2">
                  <c:v>2.1000000000000001E-2</c:v>
                </c:pt>
                <c:pt idx="3">
                  <c:v>2.3E-2</c:v>
                </c:pt>
                <c:pt idx="4">
                  <c:v>2.3E-2</c:v>
                </c:pt>
                <c:pt idx="5">
                  <c:v>1.9E-2</c:v>
                </c:pt>
                <c:pt idx="6">
                  <c:v>1.8000000000000002E-2</c:v>
                </c:pt>
                <c:pt idx="7">
                  <c:v>1.8000000000000002E-2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F-7845-8A68-D713E265F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075887"/>
        <c:axId val="1831935135"/>
      </c:lineChart>
      <c:catAx>
        <c:axId val="1690075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831935135"/>
        <c:crosses val="autoZero"/>
        <c:auto val="1"/>
        <c:lblAlgn val="ctr"/>
        <c:lblOffset val="100"/>
        <c:noMultiLvlLbl val="0"/>
      </c:catAx>
      <c:valAx>
        <c:axId val="1831935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690075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6">
                    <a:lumMod val="75000"/>
                  </a:schemeClr>
                </a:solidFill>
              </a:rPr>
              <a:t>U.S. Consumer Credit Card Debt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'Economic &amp; Market Data'!$C$146</c:f>
              <c:strCache>
                <c:ptCount val="1"/>
                <c:pt idx="0">
                  <c:v>U.S. Consumer Credit Card Debt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'Economic &amp; Market Data'!$B$147:$B$153</c:f>
              <c:strCache>
                <c:ptCount val="7"/>
                <c:pt idx="0">
                  <c:v>'18</c:v>
                </c:pt>
                <c:pt idx="1">
                  <c:v>'19</c:v>
                </c:pt>
                <c:pt idx="2">
                  <c:v>'20</c:v>
                </c:pt>
                <c:pt idx="3">
                  <c:v>'21</c:v>
                </c:pt>
                <c:pt idx="4">
                  <c:v>'22</c:v>
                </c:pt>
                <c:pt idx="5">
                  <c:v>'23</c:v>
                </c:pt>
                <c:pt idx="6">
                  <c:v>'24</c:v>
                </c:pt>
              </c:strCache>
            </c:strRef>
          </c:cat>
          <c:val>
            <c:numRef>
              <c:f>'Economic &amp; Market Data'!$C$147:$C$153</c:f>
              <c:numCache>
                <c:formatCode>General</c:formatCode>
                <c:ptCount val="7"/>
                <c:pt idx="0">
                  <c:v>798.72</c:v>
                </c:pt>
                <c:pt idx="1">
                  <c:v>832</c:v>
                </c:pt>
                <c:pt idx="2">
                  <c:v>750.34</c:v>
                </c:pt>
                <c:pt idx="3">
                  <c:v>771.65</c:v>
                </c:pt>
                <c:pt idx="4">
                  <c:v>909.59</c:v>
                </c:pt>
                <c:pt idx="5">
                  <c:v>1010.23</c:v>
                </c:pt>
                <c:pt idx="6">
                  <c:v>1071.55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2-1841-AFF3-5FA0C8C7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7673455"/>
        <c:axId val="1308834975"/>
      </c:barChart>
      <c:catAx>
        <c:axId val="1957673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308834975"/>
        <c:crosses val="autoZero"/>
        <c:auto val="1"/>
        <c:lblAlgn val="ctr"/>
        <c:lblOffset val="100"/>
        <c:noMultiLvlLbl val="0"/>
      </c:catAx>
      <c:valAx>
        <c:axId val="1308834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957673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>
                    <a:lumMod val="75000"/>
                  </a:schemeClr>
                </a:solidFill>
              </a:rPr>
              <a:t>U.S. Inflation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'Economic &amp; Market Data'!$C$161</c:f>
              <c:strCache>
                <c:ptCount val="1"/>
                <c:pt idx="0">
                  <c:v>Inflation Rate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1F-FE44-BE0B-59AC26FB610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21F-FE44-BE0B-59AC26FB6105}"/>
              </c:ext>
            </c:extLst>
          </c:dPt>
          <c:cat>
            <c:strRef>
              <c:f>'Economic &amp; Market Data'!$B$180:$B$186</c:f>
              <c:strCach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2025E</c:v>
                </c:pt>
                <c:pt idx="6">
                  <c:v>2026E</c:v>
                </c:pt>
              </c:strCache>
            </c:strRef>
          </c:cat>
          <c:val>
            <c:numRef>
              <c:f>'Economic &amp; Market Data'!$C$180:$C$186</c:f>
              <c:numCache>
                <c:formatCode>0.0%</c:formatCode>
                <c:ptCount val="7"/>
                <c:pt idx="0">
                  <c:v>2.3E-2</c:v>
                </c:pt>
                <c:pt idx="1">
                  <c:v>1.7000000000000001E-2</c:v>
                </c:pt>
                <c:pt idx="2">
                  <c:v>7.9000000000000001E-2</c:v>
                </c:pt>
                <c:pt idx="3">
                  <c:v>0.06</c:v>
                </c:pt>
                <c:pt idx="4">
                  <c:v>3.2000000000000001E-2</c:v>
                </c:pt>
                <c:pt idx="5">
                  <c:v>2.5000000000000001E-2</c:v>
                </c:pt>
                <c:pt idx="6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F-FE44-BE0B-59AC26FB6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9741167"/>
        <c:axId val="1849738271"/>
      </c:lineChart>
      <c:catAx>
        <c:axId val="184974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849738271"/>
        <c:crosses val="autoZero"/>
        <c:auto val="1"/>
        <c:lblAlgn val="ctr"/>
        <c:lblOffset val="100"/>
        <c:noMultiLvlLbl val="0"/>
      </c:catAx>
      <c:valAx>
        <c:axId val="184973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84974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/>
                </a:solidFill>
              </a:rPr>
              <a:t>Revenue by Brand in Retail</a:t>
            </a:r>
          </a:p>
        </c:rich>
      </c:tx>
      <c:layout>
        <c:manualLayout>
          <c:xMode val="edge"/>
          <c:yMode val="edge"/>
          <c:x val="0.17519850119224892"/>
          <c:y val="1.20631119219323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>
        <c:manualLayout>
          <c:layoutTarget val="inner"/>
          <c:xMode val="edge"/>
          <c:yMode val="edge"/>
          <c:x val="0.18147679568131186"/>
          <c:y val="0.14721934749050378"/>
          <c:w val="0.66737082531873892"/>
          <c:h val="0.628421171644288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3E-D544-B2B8-94B1498CDB5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3E-D544-B2B8-94B1498CDB56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83E-D544-B2B8-94B1498CDB56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83E-D544-B2B8-94B1498CDB56}"/>
              </c:ext>
            </c:extLst>
          </c:dPt>
          <c:cat>
            <c:strRef>
              <c:f>'Sales by Segment'!$B$8:$B$11</c:f>
              <c:strCache>
                <c:ptCount val="4"/>
                <c:pt idx="0">
                  <c:v>Urban Outfitters</c:v>
                </c:pt>
                <c:pt idx="1">
                  <c:v>Anthropologie (incl. Terrain)</c:v>
                </c:pt>
                <c:pt idx="2">
                  <c:v>Free People &amp; FP Movement</c:v>
                </c:pt>
                <c:pt idx="3">
                  <c:v>Menus &amp; Venus</c:v>
                </c:pt>
              </c:strCache>
            </c:strRef>
          </c:cat>
          <c:val>
            <c:numRef>
              <c:f>'Sales by Segment'!$F$8:$F$11</c:f>
              <c:numCache>
                <c:formatCode>0.00</c:formatCode>
                <c:ptCount val="4"/>
                <c:pt idx="0">
                  <c:v>402.2</c:v>
                </c:pt>
                <c:pt idx="1">
                  <c:v>712.9</c:v>
                </c:pt>
                <c:pt idx="2">
                  <c:v>330.6</c:v>
                </c:pt>
                <c:pt idx="3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E-D544-B2B8-94B1498C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21888128694393"/>
          <c:y val="0.80136663782298956"/>
          <c:w val="0.6862077957991386"/>
          <c:h val="0.17539364552598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/>
                </a:solidFill>
              </a:rPr>
              <a:t>Revenue by Segment</a:t>
            </a:r>
          </a:p>
        </c:rich>
      </c:tx>
      <c:layout>
        <c:manualLayout>
          <c:xMode val="edge"/>
          <c:yMode val="edge"/>
          <c:x val="0.23662756184226416"/>
          <c:y val="8.05977433266496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>
        <c:manualLayout>
          <c:layoutTarget val="inner"/>
          <c:xMode val="edge"/>
          <c:yMode val="edge"/>
          <c:x val="0.13777002633694038"/>
          <c:y val="0.14618001708980793"/>
          <c:w val="0.69507750616288899"/>
          <c:h val="0.645000731856655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E9-6741-BEB4-918C9564D77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E9-6741-BEB4-918C9564D77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4E9-6741-BEB4-918C9564D77A}"/>
              </c:ext>
            </c:extLst>
          </c:dPt>
          <c:cat>
            <c:strRef>
              <c:f>('Sales by Segment'!$B$12,'Sales by Segment'!$B$22,'Sales by Segment'!$B$24)</c:f>
              <c:strCache>
                <c:ptCount val="3"/>
                <c:pt idx="0">
                  <c:v>Retail Total</c:v>
                </c:pt>
                <c:pt idx="1">
                  <c:v>Wholesale Total</c:v>
                </c:pt>
                <c:pt idx="2">
                  <c:v>Nuuly Segment</c:v>
                </c:pt>
              </c:strCache>
            </c:strRef>
          </c:cat>
          <c:val>
            <c:numRef>
              <c:f>('Sales by Segment'!$F$12,'Sales by Segment'!$F$22,'Sales by Segment'!$F$24)</c:f>
              <c:numCache>
                <c:formatCode>0.00</c:formatCode>
                <c:ptCount val="3"/>
                <c:pt idx="0">
                  <c:v>1454.9999999999998</c:v>
                </c:pt>
                <c:pt idx="1">
                  <c:v>68.599999999999994</c:v>
                </c:pt>
                <c:pt idx="2">
                  <c:v>112.5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9-6741-BEB4-918C9564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445232"/>
        <c:axId val="920470176"/>
      </c:barChart>
      <c:catAx>
        <c:axId val="92044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0470176"/>
        <c:crosses val="autoZero"/>
        <c:auto val="1"/>
        <c:lblAlgn val="ctr"/>
        <c:lblOffset val="100"/>
        <c:noMultiLvlLbl val="0"/>
      </c:catAx>
      <c:valAx>
        <c:axId val="9204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2044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42490412467833E-2"/>
          <c:y val="0.77109413338208554"/>
          <c:w val="0.85996025181299052"/>
          <c:h val="0.14646131668774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59-4E46-8AC2-FFC11EE73D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59-4E46-8AC2-FFC11EE73D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59-4E46-8AC2-FFC11EE73D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59-4E46-8AC2-FFC11EE73D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F59-4E46-8AC2-FFC11EE73D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F59-4E46-8AC2-FFC11EE73D44}"/>
              </c:ext>
            </c:extLst>
          </c:dPt>
          <c:cat>
            <c:strRef>
              <c:f>Comparables!$B$254:$B$259</c:f>
              <c:strCache>
                <c:ptCount val="6"/>
                <c:pt idx="0">
                  <c:v>Zara (Inditex)</c:v>
                </c:pt>
                <c:pt idx="1">
                  <c:v>Uniqlo</c:v>
                </c:pt>
                <c:pt idx="2">
                  <c:v>American Eage Outfitters</c:v>
                </c:pt>
                <c:pt idx="3">
                  <c:v>Abercrombie &amp; Fitch</c:v>
                </c:pt>
                <c:pt idx="4">
                  <c:v>Urban Outfitters</c:v>
                </c:pt>
                <c:pt idx="5">
                  <c:v>Other</c:v>
                </c:pt>
              </c:strCache>
            </c:strRef>
          </c:cat>
          <c:val>
            <c:numRef>
              <c:f>Comparables!$F$254:$F$259</c:f>
              <c:numCache>
                <c:formatCode>0%</c:formatCode>
                <c:ptCount val="6"/>
                <c:pt idx="0">
                  <c:v>0.28500835714285716</c:v>
                </c:pt>
                <c:pt idx="1">
                  <c:v>0.15007142857142858</c:v>
                </c:pt>
                <c:pt idx="2">
                  <c:v>3.8671428571428572E-2</c:v>
                </c:pt>
                <c:pt idx="3">
                  <c:v>3.3314285714285713E-2</c:v>
                </c:pt>
                <c:pt idx="4">
                  <c:v>3.6807142857142858E-2</c:v>
                </c:pt>
                <c:pt idx="5">
                  <c:v>0.45612857142857144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D-0F4D-BC4A-CC6C510D1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>
                    <a:lumMod val="75000"/>
                  </a:schemeClr>
                </a:solidFill>
              </a:rPr>
              <a:t>Valuation Football Field Urban</a:t>
            </a:r>
            <a:r>
              <a:rPr lang="en-GB" b="1" baseline="0">
                <a:solidFill>
                  <a:schemeClr val="accent6">
                    <a:lumMod val="75000"/>
                  </a:schemeClr>
                </a:solidFill>
              </a:rPr>
              <a:t> Outfitters Inc.</a:t>
            </a:r>
            <a:endParaRPr lang="en-GB" b="1">
              <a:solidFill>
                <a:schemeClr val="accent6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9435894531538803"/>
          <c:y val="2.1001478371784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2167323129411731"/>
          <c:y val="0.22053899687719811"/>
          <c:w val="0.84089346219520544"/>
          <c:h val="0.6967055971730059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Valuation!$B$6:$B$13</c:f>
              <c:strCache>
                <c:ptCount val="8"/>
                <c:pt idx="0">
                  <c:v>Enterprise Value</c:v>
                </c:pt>
                <c:pt idx="1">
                  <c:v>DCF</c:v>
                </c:pt>
                <c:pt idx="2">
                  <c:v>EV/Revenue LTM</c:v>
                </c:pt>
                <c:pt idx="3">
                  <c:v>EV/Revenue 1yr</c:v>
                </c:pt>
                <c:pt idx="4">
                  <c:v>EV/EBITDA LTM</c:v>
                </c:pt>
                <c:pt idx="5">
                  <c:v>EV/EBITDA 1yr</c:v>
                </c:pt>
                <c:pt idx="6">
                  <c:v>EV/EBIT LTM</c:v>
                </c:pt>
                <c:pt idx="7">
                  <c:v>EV/EBIT 1yr</c:v>
                </c:pt>
              </c:strCache>
            </c:strRef>
          </c:cat>
          <c:val>
            <c:numRef>
              <c:f>Valuation!$C$6:$C$13</c:f>
              <c:numCache>
                <c:formatCode>General</c:formatCode>
                <c:ptCount val="8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A-374D-B51C-9D61C35E80F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021648560914735E-2"/>
                  <c:y val="3.72996520009224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A-374D-B51C-9D61C35E80FE}"/>
                </c:ext>
              </c:extLst>
            </c:dLbl>
            <c:dLbl>
              <c:idx val="1"/>
              <c:layout>
                <c:manualLayout>
                  <c:x val="3.8790012099394165E-2"/>
                  <c:y val="5.9820469235228533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A-374D-B51C-9D61C35E80FE}"/>
                </c:ext>
              </c:extLst>
            </c:dLbl>
            <c:dLbl>
              <c:idx val="2"/>
              <c:layout>
                <c:manualLayout>
                  <c:x val="9.0787877599218386E-3"/>
                  <c:y val="1.444938870416148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A-374D-B51C-9D61C35E80FE}"/>
                </c:ext>
              </c:extLst>
            </c:dLbl>
            <c:dLbl>
              <c:idx val="3"/>
              <c:layout>
                <c:manualLayout>
                  <c:x val="1.2936137654326225E-2"/>
                  <c:y val="5.779755482337445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F-344D-BFCA-E1E90D068934}"/>
                </c:ext>
              </c:extLst>
            </c:dLbl>
            <c:dLbl>
              <c:idx val="4"/>
              <c:layout>
                <c:manualLayout>
                  <c:x val="2.8922411271201072E-3"/>
                  <c:y val="2.8898777401594441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A-374D-B51C-9D61C35E80FE}"/>
                </c:ext>
              </c:extLst>
            </c:dLbl>
            <c:dLbl>
              <c:idx val="5"/>
              <c:layout>
                <c:manualLayout>
                  <c:x val="1.7925504529772993E-5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F-344D-BFCA-E1E90D068934}"/>
                </c:ext>
              </c:extLst>
            </c:dLbl>
            <c:dLbl>
              <c:idx val="6"/>
              <c:layout>
                <c:manualLayout>
                  <c:x val="4.6149806609127424E-3"/>
                  <c:y val="2.8898777408322964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A-374D-B51C-9D61C35E80FE}"/>
                </c:ext>
              </c:extLst>
            </c:dLbl>
            <c:dLbl>
              <c:idx val="7"/>
              <c:layout>
                <c:manualLayout>
                  <c:x val="1.2664752462658066E-2"/>
                  <c:y val="3.67043371863123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F-344D-BFCA-E1E90D068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Valuation!$B$6:$B$13</c:f>
              <c:strCache>
                <c:ptCount val="8"/>
                <c:pt idx="0">
                  <c:v>Enterprise Value</c:v>
                </c:pt>
                <c:pt idx="1">
                  <c:v>DCF</c:v>
                </c:pt>
                <c:pt idx="2">
                  <c:v>EV/Revenue LTM</c:v>
                </c:pt>
                <c:pt idx="3">
                  <c:v>EV/Revenue 1yr</c:v>
                </c:pt>
                <c:pt idx="4">
                  <c:v>EV/EBITDA LTM</c:v>
                </c:pt>
                <c:pt idx="5">
                  <c:v>EV/EBITDA 1yr</c:v>
                </c:pt>
                <c:pt idx="6">
                  <c:v>EV/EBIT LTM</c:v>
                </c:pt>
                <c:pt idx="7">
                  <c:v>EV/EBIT 1yr</c:v>
                </c:pt>
              </c:strCache>
            </c:strRef>
          </c:cat>
          <c:val>
            <c:numRef>
              <c:f>Valuation!$D$6:$D$13</c:f>
              <c:numCache>
                <c:formatCode>#,###</c:formatCode>
                <c:ptCount val="8"/>
                <c:pt idx="0">
                  <c:v>4711.6308010000002</c:v>
                </c:pt>
                <c:pt idx="1">
                  <c:v>5145.2441606889643</c:v>
                </c:pt>
                <c:pt idx="2">
                  <c:v>2960.9582854945002</c:v>
                </c:pt>
                <c:pt idx="3">
                  <c:v>3002.0360948483394</c:v>
                </c:pt>
                <c:pt idx="4">
                  <c:v>2328.4755305963022</c:v>
                </c:pt>
                <c:pt idx="5">
                  <c:v>2196.7215637737859</c:v>
                </c:pt>
                <c:pt idx="6">
                  <c:v>2418.6644810119751</c:v>
                </c:pt>
                <c:pt idx="7">
                  <c:v>3320.7846371996534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A-374D-B51C-9D61C35E80F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Valuation!$B$6:$B$13</c:f>
              <c:strCache>
                <c:ptCount val="8"/>
                <c:pt idx="0">
                  <c:v>Enterprise Value</c:v>
                </c:pt>
                <c:pt idx="1">
                  <c:v>DCF</c:v>
                </c:pt>
                <c:pt idx="2">
                  <c:v>EV/Revenue LTM</c:v>
                </c:pt>
                <c:pt idx="3">
                  <c:v>EV/Revenue 1yr</c:v>
                </c:pt>
                <c:pt idx="4">
                  <c:v>EV/EBITDA LTM</c:v>
                </c:pt>
                <c:pt idx="5">
                  <c:v>EV/EBITDA 1yr</c:v>
                </c:pt>
                <c:pt idx="6">
                  <c:v>EV/EBIT LTM</c:v>
                </c:pt>
                <c:pt idx="7">
                  <c:v>EV/EBIT 1yr</c:v>
                </c:pt>
              </c:strCache>
            </c:strRef>
          </c:cat>
          <c:val>
            <c:numRef>
              <c:f>Valuation!$E$6:$E$13</c:f>
              <c:numCache>
                <c:formatCode>#,###</c:formatCode>
                <c:ptCount val="8"/>
                <c:pt idx="0">
                  <c:v>2562.3193049999991</c:v>
                </c:pt>
                <c:pt idx="1">
                  <c:v>1718.1318191304836</c:v>
                </c:pt>
                <c:pt idx="2">
                  <c:v>15146.221021967314</c:v>
                </c:pt>
                <c:pt idx="3">
                  <c:v>13856.979802395737</c:v>
                </c:pt>
                <c:pt idx="4">
                  <c:v>6358.780159199292</c:v>
                </c:pt>
                <c:pt idx="5">
                  <c:v>3627.0436443828171</c:v>
                </c:pt>
                <c:pt idx="6">
                  <c:v>9554.3859920432405</c:v>
                </c:pt>
                <c:pt idx="7">
                  <c:v>8652.2658358555618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CA-374D-B51C-9D61C35E80FE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5.274477482265684E-2"/>
                  <c:y val="3.663166371786580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A-374D-B51C-9D61C35E80FE}"/>
                </c:ext>
              </c:extLst>
            </c:dLbl>
            <c:dLbl>
              <c:idx val="6"/>
              <c:layout>
                <c:manualLayout>
                  <c:x val="-8.2932223218085577E-2"/>
                  <c:y val="-3.3578637171428346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A-374D-B51C-9D61C35E8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Valuation!$B$6:$B$13</c:f>
              <c:strCache>
                <c:ptCount val="8"/>
                <c:pt idx="0">
                  <c:v>Enterprise Value</c:v>
                </c:pt>
                <c:pt idx="1">
                  <c:v>DCF</c:v>
                </c:pt>
                <c:pt idx="2">
                  <c:v>EV/Revenue LTM</c:v>
                </c:pt>
                <c:pt idx="3">
                  <c:v>EV/Revenue 1yr</c:v>
                </c:pt>
                <c:pt idx="4">
                  <c:v>EV/EBITDA LTM</c:v>
                </c:pt>
                <c:pt idx="5">
                  <c:v>EV/EBITDA 1yr</c:v>
                </c:pt>
                <c:pt idx="6">
                  <c:v>EV/EBIT LTM</c:v>
                </c:pt>
                <c:pt idx="7">
                  <c:v>EV/EBIT 1yr</c:v>
                </c:pt>
              </c:strCache>
            </c:strRef>
          </c:cat>
          <c:val>
            <c:numRef>
              <c:f>Valuation!$F$6:$F$13</c:f>
              <c:numCache>
                <c:formatCode>#,###</c:formatCode>
                <c:ptCount val="8"/>
                <c:pt idx="0">
                  <c:v>7273.9501059999993</c:v>
                </c:pt>
                <c:pt idx="1">
                  <c:v>6863.3759798194478</c:v>
                </c:pt>
                <c:pt idx="2">
                  <c:v>18107.179307461814</c:v>
                </c:pt>
                <c:pt idx="3">
                  <c:v>16859.015897244077</c:v>
                </c:pt>
                <c:pt idx="4">
                  <c:v>8687.2556897955947</c:v>
                </c:pt>
                <c:pt idx="5">
                  <c:v>5823.765208156603</c:v>
                </c:pt>
                <c:pt idx="6">
                  <c:v>11973.050473055215</c:v>
                </c:pt>
                <c:pt idx="7">
                  <c:v>11973.050473055215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CA-374D-B51C-9D61C35E8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07637551"/>
        <c:axId val="259128303"/>
      </c:barChart>
      <c:catAx>
        <c:axId val="2076375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259128303"/>
        <c:crosses val="autoZero"/>
        <c:auto val="1"/>
        <c:lblAlgn val="ctr"/>
        <c:lblOffset val="100"/>
        <c:noMultiLvlLbl val="0"/>
      </c:catAx>
      <c:valAx>
        <c:axId val="259128303"/>
        <c:scaling>
          <c:orientation val="minMax"/>
          <c:min val="0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>
                    <a:solidFill>
                      <a:schemeClr val="tx1"/>
                    </a:solidFill>
                  </a:rPr>
                  <a:t>$ in millions</a:t>
                </a:r>
              </a:p>
            </c:rich>
          </c:tx>
          <c:layout>
            <c:manualLayout>
              <c:xMode val="edge"/>
              <c:yMode val="edge"/>
              <c:x val="0.45187948293793695"/>
              <c:y val="0.110526205545492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General" sourceLinked="1"/>
        <c:majorTickMark val="out"/>
        <c:minorTickMark val="none"/>
        <c:tickLblPos val="nextTo"/>
        <c:crossAx val="207637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[Urban_Outfitters_Business_and_Financial_Data.xlsx]Nuuly Subscribers Pivot!PivotTable4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accent6">
                    <a:lumMod val="75000"/>
                  </a:schemeClr>
                </a:solidFill>
              </a:rPr>
              <a:t>Number of</a:t>
            </a:r>
            <a:r>
              <a:rPr lang="en-US" sz="2000" b="1" baseline="0">
                <a:solidFill>
                  <a:schemeClr val="accent6">
                    <a:lumMod val="75000"/>
                  </a:schemeClr>
                </a:solidFill>
              </a:rPr>
              <a:t> Nuuly Subscribers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ivotFmts>
      <c:pivotFmt>
        <c:idx val="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'Nuuly Subscribers Pivot'!$F$3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trendline>
            <c:spPr>
              <a:ln w="34925" cap="rnd">
                <a:solidFill>
                  <a:schemeClr val="accent2">
                    <a:lumMod val="40000"/>
                    <a:lumOff val="60000"/>
                  </a:schemeClr>
                </a:solidFill>
                <a:prstDash val="solid"/>
              </a:ln>
              <a:effectLst/>
            </c:spPr>
            <c:trendlineType val="movingAvg"/>
            <c:period val="3"/>
            <c:dispRSqr val="0"/>
            <c:dispEq val="0"/>
          </c:trendline>
          <c:cat>
            <c:multiLvlStrRef>
              <c:f>'Nuuly Subscribers Pivot'!$E$4:$E$32</c:f>
              <c:multiLvlStrCache>
                <c:ptCount val="22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  <c:pt idx="5">
                    <c:v>Q4</c:v>
                  </c:pt>
                  <c:pt idx="6">
                    <c:v>Q1</c:v>
                  </c:pt>
                  <c:pt idx="7">
                    <c:v>Q2</c:v>
                  </c:pt>
                  <c:pt idx="8">
                    <c:v>Q3</c:v>
                  </c:pt>
                  <c:pt idx="9">
                    <c:v>Q4</c:v>
                  </c:pt>
                  <c:pt idx="10">
                    <c:v>Q1</c:v>
                  </c:pt>
                  <c:pt idx="11">
                    <c:v>Q2</c:v>
                  </c:pt>
                  <c:pt idx="12">
                    <c:v>Q3</c:v>
                  </c:pt>
                  <c:pt idx="13">
                    <c:v>Q4</c:v>
                  </c:pt>
                  <c:pt idx="14">
                    <c:v>Q1</c:v>
                  </c:pt>
                  <c:pt idx="15">
                    <c:v>Q2</c:v>
                  </c:pt>
                  <c:pt idx="16">
                    <c:v>Q3</c:v>
                  </c:pt>
                  <c:pt idx="17">
                    <c:v>Q4</c:v>
                  </c:pt>
                  <c:pt idx="18">
                    <c:v>Q1</c:v>
                  </c:pt>
                  <c:pt idx="19">
                    <c:v>Q2</c:v>
                  </c:pt>
                  <c:pt idx="20">
                    <c:v>Q3</c:v>
                  </c:pt>
                  <c:pt idx="21">
                    <c:v>Q4</c:v>
                  </c:pt>
                </c:lvl>
                <c:lvl>
                  <c:pt idx="0">
                    <c:v>FY2020</c:v>
                  </c:pt>
                  <c:pt idx="2">
                    <c:v>FY2021</c:v>
                  </c:pt>
                  <c:pt idx="6">
                    <c:v>FY2022</c:v>
                  </c:pt>
                  <c:pt idx="10">
                    <c:v>FY2023</c:v>
                  </c:pt>
                  <c:pt idx="14">
                    <c:v>FY2024</c:v>
                  </c:pt>
                  <c:pt idx="18">
                    <c:v>FY2025</c:v>
                  </c:pt>
                </c:lvl>
              </c:multiLvlStrCache>
            </c:multiLvlStrRef>
          </c:cat>
          <c:val>
            <c:numRef>
              <c:f>'Nuuly Subscribers Pivot'!$F$4:$F$32</c:f>
              <c:numCache>
                <c:formatCode>General</c:formatCode>
                <c:ptCount val="22"/>
                <c:pt idx="0">
                  <c:v>10000</c:v>
                </c:pt>
                <c:pt idx="1">
                  <c:v>25000</c:v>
                </c:pt>
                <c:pt idx="2">
                  <c:v>13000</c:v>
                </c:pt>
                <c:pt idx="3">
                  <c:v>15000</c:v>
                </c:pt>
                <c:pt idx="4">
                  <c:v>17000</c:v>
                </c:pt>
                <c:pt idx="5">
                  <c:v>18000</c:v>
                </c:pt>
                <c:pt idx="6">
                  <c:v>23000</c:v>
                </c:pt>
                <c:pt idx="7">
                  <c:v>27000</c:v>
                </c:pt>
                <c:pt idx="8">
                  <c:v>42000</c:v>
                </c:pt>
                <c:pt idx="9">
                  <c:v>52000</c:v>
                </c:pt>
                <c:pt idx="10">
                  <c:v>75000</c:v>
                </c:pt>
                <c:pt idx="11">
                  <c:v>80000</c:v>
                </c:pt>
                <c:pt idx="12">
                  <c:v>118000</c:v>
                </c:pt>
                <c:pt idx="13">
                  <c:v>125000</c:v>
                </c:pt>
                <c:pt idx="14">
                  <c:v>162000</c:v>
                </c:pt>
                <c:pt idx="15">
                  <c:v>155000</c:v>
                </c:pt>
                <c:pt idx="16">
                  <c:v>197000</c:v>
                </c:pt>
                <c:pt idx="17">
                  <c:v>188000</c:v>
                </c:pt>
                <c:pt idx="18">
                  <c:v>240000</c:v>
                </c:pt>
                <c:pt idx="19">
                  <c:v>237000</c:v>
                </c:pt>
                <c:pt idx="20">
                  <c:v>285000</c:v>
                </c:pt>
                <c:pt idx="21">
                  <c:v>292000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1-7A4E-98BF-9B5C89F6C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4563648"/>
        <c:axId val="2004565360"/>
      </c:barChart>
      <c:catAx>
        <c:axId val="20045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2004565360"/>
        <c:crosses val="autoZero"/>
        <c:auto val="1"/>
        <c:lblAlgn val="ctr"/>
        <c:lblOffset val="100"/>
        <c:noMultiLvlLbl val="0"/>
      </c:catAx>
      <c:valAx>
        <c:axId val="200456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20045636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/>
                </a:solidFill>
              </a:rPr>
              <a:t>Number of Stores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Urban Outfitters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'Number of Stores'!$C$7:$Q$7</c:f>
              <c:strCache>
                <c:ptCount val="15"/>
                <c:pt idx="0">
                  <c:v>FY2015A</c:v>
                </c:pt>
                <c:pt idx="1">
                  <c:v>FY2016A</c:v>
                </c:pt>
                <c:pt idx="2">
                  <c:v>FY2017A</c:v>
                </c:pt>
                <c:pt idx="3">
                  <c:v>FY2018A</c:v>
                </c:pt>
                <c:pt idx="4">
                  <c:v>FY2019A</c:v>
                </c:pt>
                <c:pt idx="5">
                  <c:v>FY2020A</c:v>
                </c:pt>
                <c:pt idx="6">
                  <c:v>FY2021A</c:v>
                </c:pt>
                <c:pt idx="7">
                  <c:v>FY2022A</c:v>
                </c:pt>
                <c:pt idx="8">
                  <c:v>FY2023A</c:v>
                </c:pt>
                <c:pt idx="9">
                  <c:v>FY2024A</c:v>
                </c:pt>
                <c:pt idx="10">
                  <c:v>Q1 2025A</c:v>
                </c:pt>
                <c:pt idx="11">
                  <c:v>Q2 2025A</c:v>
                </c:pt>
                <c:pt idx="12">
                  <c:v>Q3 2025A</c:v>
                </c:pt>
                <c:pt idx="13">
                  <c:v>FY2025A</c:v>
                </c:pt>
                <c:pt idx="14">
                  <c:v>Q4 2026E</c:v>
                </c:pt>
              </c:strCache>
            </c:strRef>
          </c:cat>
          <c:val>
            <c:numRef>
              <c:f>'Number of Stores'!$C$12:$Q$12</c:f>
              <c:numCache>
                <c:formatCode>General</c:formatCode>
                <c:ptCount val="15"/>
                <c:pt idx="0">
                  <c:v>238</c:v>
                </c:pt>
                <c:pt idx="1">
                  <c:v>240</c:v>
                </c:pt>
                <c:pt idx="2">
                  <c:v>242</c:v>
                </c:pt>
                <c:pt idx="3">
                  <c:v>245</c:v>
                </c:pt>
                <c:pt idx="4">
                  <c:v>245</c:v>
                </c:pt>
                <c:pt idx="5">
                  <c:v>253</c:v>
                </c:pt>
                <c:pt idx="6">
                  <c:v>248</c:v>
                </c:pt>
                <c:pt idx="7">
                  <c:v>263</c:v>
                </c:pt>
                <c:pt idx="8">
                  <c:v>269</c:v>
                </c:pt>
                <c:pt idx="9">
                  <c:v>269</c:v>
                </c:pt>
                <c:pt idx="10">
                  <c:v>271</c:v>
                </c:pt>
                <c:pt idx="11">
                  <c:v>270</c:v>
                </c:pt>
                <c:pt idx="12">
                  <c:v>264</c:v>
                </c:pt>
                <c:pt idx="13">
                  <c:v>254</c:v>
                </c:pt>
                <c:pt idx="1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3-9B49-A483-A8A8DC70E73A}"/>
            </c:ext>
          </c:extLst>
        </c:ser>
        <c:ser>
          <c:idx val="1"/>
          <c:order val="1"/>
          <c:tx>
            <c:v>Anthropologie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'Number of Stores'!$C$18:$Q$18</c:f>
              <c:numCache>
                <c:formatCode>General</c:formatCode>
                <c:ptCount val="15"/>
                <c:pt idx="0">
                  <c:v>206</c:v>
                </c:pt>
                <c:pt idx="1">
                  <c:v>218</c:v>
                </c:pt>
                <c:pt idx="2">
                  <c:v>225</c:v>
                </c:pt>
                <c:pt idx="3">
                  <c:v>226</c:v>
                </c:pt>
                <c:pt idx="4">
                  <c:v>227</c:v>
                </c:pt>
                <c:pt idx="5">
                  <c:v>232</c:v>
                </c:pt>
                <c:pt idx="6">
                  <c:v>237</c:v>
                </c:pt>
                <c:pt idx="7">
                  <c:v>239</c:v>
                </c:pt>
                <c:pt idx="8">
                  <c:v>240</c:v>
                </c:pt>
                <c:pt idx="9">
                  <c:v>239</c:v>
                </c:pt>
                <c:pt idx="10">
                  <c:v>240</c:v>
                </c:pt>
                <c:pt idx="11">
                  <c:v>241</c:v>
                </c:pt>
                <c:pt idx="12">
                  <c:v>242</c:v>
                </c:pt>
                <c:pt idx="13">
                  <c:v>240</c:v>
                </c:pt>
                <c:pt idx="14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3-9B49-A483-A8A8DC70E73A}"/>
            </c:ext>
          </c:extLst>
        </c:ser>
        <c:ser>
          <c:idx val="2"/>
          <c:order val="2"/>
          <c:tx>
            <c:v>Free People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'Number of Stores'!$C$24:$Q$24</c:f>
              <c:numCache>
                <c:formatCode>General</c:formatCode>
                <c:ptCount val="15"/>
                <c:pt idx="0">
                  <c:v>102</c:v>
                </c:pt>
                <c:pt idx="1">
                  <c:v>114</c:v>
                </c:pt>
                <c:pt idx="2">
                  <c:v>127</c:v>
                </c:pt>
                <c:pt idx="3">
                  <c:v>132</c:v>
                </c:pt>
                <c:pt idx="4">
                  <c:v>135</c:v>
                </c:pt>
                <c:pt idx="5">
                  <c:v>145</c:v>
                </c:pt>
                <c:pt idx="6">
                  <c:v>149</c:v>
                </c:pt>
                <c:pt idx="7">
                  <c:v>173</c:v>
                </c:pt>
                <c:pt idx="8">
                  <c:v>188</c:v>
                </c:pt>
                <c:pt idx="9">
                  <c:v>198</c:v>
                </c:pt>
                <c:pt idx="10">
                  <c:v>199</c:v>
                </c:pt>
                <c:pt idx="11">
                  <c:v>205</c:v>
                </c:pt>
                <c:pt idx="12">
                  <c:v>216</c:v>
                </c:pt>
                <c:pt idx="13">
                  <c:v>239</c:v>
                </c:pt>
                <c:pt idx="14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3-9B49-A483-A8A8DC70E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5"/>
        <c:overlap val="-20"/>
        <c:axId val="1796784400"/>
        <c:axId val="1775342879"/>
      </c:barChart>
      <c:catAx>
        <c:axId val="179678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775342879"/>
        <c:crosses val="autoZero"/>
        <c:auto val="1"/>
        <c:lblAlgn val="ctr"/>
        <c:lblOffset val="100"/>
        <c:noMultiLvlLbl val="0"/>
      </c:catAx>
      <c:valAx>
        <c:axId val="177534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79678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017585853816539"/>
          <c:y val="0.95383366207012155"/>
          <c:w val="0.25385405078794104"/>
          <c:h val="3.7797630280431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chemeClr val="accent6"/>
                </a:solidFill>
              </a:rPr>
              <a:t>Number of Stores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Urban Outfitters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('Number of Stores'!$J$7:$L$7,'Number of Stores'!$P$7,'Number of Stores'!$Q$7)</c:f>
              <c:strCache>
                <c:ptCount val="5"/>
                <c:pt idx="0">
                  <c:v>FY2022A</c:v>
                </c:pt>
                <c:pt idx="1">
                  <c:v>FY2023A</c:v>
                </c:pt>
                <c:pt idx="2">
                  <c:v>FY2024A</c:v>
                </c:pt>
                <c:pt idx="3">
                  <c:v>FY2025A</c:v>
                </c:pt>
                <c:pt idx="4">
                  <c:v>Q4 2026E</c:v>
                </c:pt>
              </c:strCache>
            </c:strRef>
          </c:cat>
          <c:val>
            <c:numRef>
              <c:f>('Number of Stores'!$J$12:$L$12,'Number of Stores'!$P$12:$Q$12)</c:f>
              <c:numCache>
                <c:formatCode>General</c:formatCode>
                <c:ptCount val="5"/>
                <c:pt idx="0">
                  <c:v>263</c:v>
                </c:pt>
                <c:pt idx="1">
                  <c:v>269</c:v>
                </c:pt>
                <c:pt idx="2">
                  <c:v>269</c:v>
                </c:pt>
                <c:pt idx="3">
                  <c:v>254</c:v>
                </c:pt>
                <c:pt idx="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E-C940-A379-945A4910556F}"/>
            </c:ext>
          </c:extLst>
        </c:ser>
        <c:ser>
          <c:idx val="1"/>
          <c:order val="1"/>
          <c:tx>
            <c:v>Anthropologie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('Number of Stores'!$J$7:$L$7,'Number of Stores'!$P$7,'Number of Stores'!$Q$7)</c:f>
              <c:strCache>
                <c:ptCount val="5"/>
                <c:pt idx="0">
                  <c:v>FY2022A</c:v>
                </c:pt>
                <c:pt idx="1">
                  <c:v>FY2023A</c:v>
                </c:pt>
                <c:pt idx="2">
                  <c:v>FY2024A</c:v>
                </c:pt>
                <c:pt idx="3">
                  <c:v>FY2025A</c:v>
                </c:pt>
                <c:pt idx="4">
                  <c:v>Q4 2026E</c:v>
                </c:pt>
              </c:strCache>
            </c:strRef>
          </c:cat>
          <c:val>
            <c:numRef>
              <c:f>('Number of Stores'!$J$18:$L$18,'Number of Stores'!$P$18:$Q$18)</c:f>
              <c:numCache>
                <c:formatCode>General</c:formatCode>
                <c:ptCount val="5"/>
                <c:pt idx="0">
                  <c:v>239</c:v>
                </c:pt>
                <c:pt idx="1">
                  <c:v>240</c:v>
                </c:pt>
                <c:pt idx="2">
                  <c:v>239</c:v>
                </c:pt>
                <c:pt idx="3">
                  <c:v>240</c:v>
                </c:pt>
                <c:pt idx="4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E-C940-A379-945A4910556F}"/>
            </c:ext>
          </c:extLst>
        </c:ser>
        <c:ser>
          <c:idx val="2"/>
          <c:order val="2"/>
          <c:tx>
            <c:v>Free People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('Number of Stores'!$J$7:$L$7,'Number of Stores'!$P$7,'Number of Stores'!$Q$7)</c:f>
              <c:strCache>
                <c:ptCount val="5"/>
                <c:pt idx="0">
                  <c:v>FY2022A</c:v>
                </c:pt>
                <c:pt idx="1">
                  <c:v>FY2023A</c:v>
                </c:pt>
                <c:pt idx="2">
                  <c:v>FY2024A</c:v>
                </c:pt>
                <c:pt idx="3">
                  <c:v>FY2025A</c:v>
                </c:pt>
                <c:pt idx="4">
                  <c:v>Q4 2026E</c:v>
                </c:pt>
              </c:strCache>
            </c:strRef>
          </c:cat>
          <c:val>
            <c:numRef>
              <c:f>('Number of Stores'!$J$24:$L$24,'Number of Stores'!$P$24:$Q$24)</c:f>
              <c:numCache>
                <c:formatCode>General</c:formatCode>
                <c:ptCount val="5"/>
                <c:pt idx="0">
                  <c:v>173</c:v>
                </c:pt>
                <c:pt idx="1">
                  <c:v>188</c:v>
                </c:pt>
                <c:pt idx="2">
                  <c:v>198</c:v>
                </c:pt>
                <c:pt idx="3">
                  <c:v>239</c:v>
                </c:pt>
                <c:pt idx="4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E-C940-A379-945A4910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5"/>
        <c:overlap val="-20"/>
        <c:axId val="1796784400"/>
        <c:axId val="1775342879"/>
      </c:barChart>
      <c:catAx>
        <c:axId val="179678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775342879"/>
        <c:crosses val="autoZero"/>
        <c:auto val="1"/>
        <c:lblAlgn val="ctr"/>
        <c:lblOffset val="100"/>
        <c:noMultiLvlLbl val="0"/>
      </c:catAx>
      <c:valAx>
        <c:axId val="177534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79678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017585853816539"/>
          <c:y val="0.95383366207012155"/>
          <c:w val="0.25385405078794104"/>
          <c:h val="3.7797630280431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6">
                    <a:lumMod val="75000"/>
                  </a:schemeClr>
                </a:solidFill>
              </a:rPr>
              <a:t>Global Fashion Apparel Market</a:t>
            </a:r>
            <a:r>
              <a:rPr lang="en-US" b="1" baseline="0">
                <a:solidFill>
                  <a:schemeClr val="accent6">
                    <a:lumMod val="75000"/>
                  </a:schemeClr>
                </a:solidFill>
              </a:rPr>
              <a:t> Size</a:t>
            </a:r>
            <a:endParaRPr lang="en-US" b="1">
              <a:solidFill>
                <a:schemeClr val="accent6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'Economic &amp; Market Data'!$C$4</c:f>
              <c:strCache>
                <c:ptCount val="1"/>
                <c:pt idx="0">
                  <c:v>Market size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'Economic &amp; Market Data'!$B$9:$B$15</c:f>
              <c:strCach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2025E</c:v>
                </c:pt>
                <c:pt idx="4">
                  <c:v>2026E</c:v>
                </c:pt>
                <c:pt idx="5">
                  <c:v>2027E</c:v>
                </c:pt>
                <c:pt idx="6">
                  <c:v>2028E</c:v>
                </c:pt>
              </c:strCache>
            </c:strRef>
          </c:cat>
          <c:val>
            <c:numRef>
              <c:f>'Economic &amp; Market Data'!$C$9:$C$15</c:f>
              <c:numCache>
                <c:formatCode>General</c:formatCode>
                <c:ptCount val="7"/>
                <c:pt idx="0">
                  <c:v>1.57</c:v>
                </c:pt>
                <c:pt idx="1">
                  <c:v>1.73</c:v>
                </c:pt>
                <c:pt idx="2">
                  <c:v>1.79</c:v>
                </c:pt>
                <c:pt idx="3">
                  <c:v>1.84</c:v>
                </c:pt>
                <c:pt idx="4">
                  <c:v>1.89</c:v>
                </c:pt>
                <c:pt idx="5">
                  <c:v>1.94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4-0D4D-B206-6158D0A2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1096463"/>
        <c:axId val="1341098175"/>
      </c:barChart>
      <c:catAx>
        <c:axId val="134109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341098175"/>
        <c:crosses val="autoZero"/>
        <c:auto val="1"/>
        <c:lblAlgn val="ctr"/>
        <c:lblOffset val="100"/>
        <c:noMultiLvlLbl val="0"/>
      </c:catAx>
      <c:valAx>
        <c:axId val="1341098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34109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>
                <a:solidFill>
                  <a:schemeClr val="accent6">
                    <a:lumMod val="75000"/>
                  </a:schemeClr>
                </a:solidFill>
              </a:rPr>
              <a:t>Fashion Apparel Market Size by Buyer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'Economic &amp; Market Data'!$C$36</c:f>
              <c:strCache>
                <c:ptCount val="1"/>
                <c:pt idx="0">
                  <c:v>Women's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&amp; Market Data'!$B$37:$B$38</c:f>
              <c:numCache>
                <c:formatCode>General</c:formatCode>
                <c:ptCount val="2"/>
                <c:pt idx="0">
                  <c:v>2024</c:v>
                </c:pt>
                <c:pt idx="1">
                  <c:v>2027</c:v>
                </c:pt>
              </c:numCache>
            </c:numRef>
          </c:cat>
          <c:val>
            <c:numRef>
              <c:f>'Economic &amp; Market Data'!$C$37:$C$38</c:f>
              <c:numCache>
                <c:formatCode>General</c:formatCode>
                <c:ptCount val="2"/>
                <c:pt idx="0">
                  <c:v>930</c:v>
                </c:pt>
                <c:pt idx="1">
                  <c:v>1009.81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5-C249-91AF-5C3212391C89}"/>
            </c:ext>
          </c:extLst>
        </c:ser>
        <c:ser>
          <c:idx val="1"/>
          <c:order val="1"/>
          <c:tx>
            <c:strRef>
              <c:f>'Economic &amp; Market Data'!$D$36</c:f>
              <c:strCache>
                <c:ptCount val="1"/>
                <c:pt idx="0">
                  <c:v>Men's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&amp; Market Data'!$B$37:$B$38</c:f>
              <c:numCache>
                <c:formatCode>General</c:formatCode>
                <c:ptCount val="2"/>
                <c:pt idx="0">
                  <c:v>2024</c:v>
                </c:pt>
                <c:pt idx="1">
                  <c:v>2027</c:v>
                </c:pt>
              </c:numCache>
            </c:numRef>
          </c:cat>
          <c:val>
            <c:numRef>
              <c:f>'Economic &amp; Market Data'!$D$37:$D$38</c:f>
              <c:numCache>
                <c:formatCode>General</c:formatCode>
                <c:ptCount val="2"/>
                <c:pt idx="0">
                  <c:v>587.61</c:v>
                </c:pt>
                <c:pt idx="1">
                  <c:v>639.12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5-C249-91AF-5C3212391C89}"/>
            </c:ext>
          </c:extLst>
        </c:ser>
        <c:ser>
          <c:idx val="2"/>
          <c:order val="2"/>
          <c:tx>
            <c:strRef>
              <c:f>'Economic &amp; Market Data'!$E$36</c:f>
              <c:strCache>
                <c:ptCount val="1"/>
                <c:pt idx="0">
                  <c:v>Children's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&amp; Market Data'!$B$37:$B$38</c:f>
              <c:numCache>
                <c:formatCode>General</c:formatCode>
                <c:ptCount val="2"/>
                <c:pt idx="0">
                  <c:v>2024</c:v>
                </c:pt>
                <c:pt idx="1">
                  <c:v>2027</c:v>
                </c:pt>
              </c:numCache>
            </c:numRef>
          </c:cat>
          <c:val>
            <c:numRef>
              <c:f>'Economic &amp; Market Data'!$E$37:$E$38</c:f>
              <c:numCache>
                <c:formatCode>General</c:formatCode>
                <c:ptCount val="2"/>
                <c:pt idx="0">
                  <c:v>274.25</c:v>
                </c:pt>
                <c:pt idx="1">
                  <c:v>294.82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5-C249-91AF-5C3212391C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91199647"/>
        <c:axId val="1191466191"/>
      </c:barChart>
      <c:catAx>
        <c:axId val="119119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191466191"/>
        <c:crosses val="autoZero"/>
        <c:auto val="1"/>
        <c:lblAlgn val="ctr"/>
        <c:lblOffset val="100"/>
        <c:noMultiLvlLbl val="0"/>
      </c:catAx>
      <c:valAx>
        <c:axId val="1191466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19119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 b="1">
                <a:solidFill>
                  <a:schemeClr val="accent6">
                    <a:lumMod val="75000"/>
                  </a:schemeClr>
                </a:solidFill>
              </a:rPr>
              <a:t>CPI for Apparel Categories in the U.S. (1983</a:t>
            </a:r>
            <a:r>
              <a:rPr lang="en-GB" sz="1600" b="1" baseline="0">
                <a:solidFill>
                  <a:schemeClr val="accent6">
                    <a:lumMod val="75000"/>
                  </a:schemeClr>
                </a:solidFill>
              </a:rPr>
              <a:t> base year)</a:t>
            </a:r>
            <a:endParaRPr lang="en-GB" sz="1600" b="1">
              <a:solidFill>
                <a:schemeClr val="accent6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4075436953788246"/>
          <c:y val="3.8253676023557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4.5200707346370481E-2"/>
          <c:y val="0.11150664395035026"/>
          <c:w val="0.93734675150991964"/>
          <c:h val="0.77425231418897167"/>
        </c:manualLayout>
      </c:layout>
      <c:lineChart>
        <c:grouping val="standard"/>
        <c:varyColors val="0"/>
        <c:ser>
          <c:idx val="0"/>
          <c:order val="0"/>
          <c:tx>
            <c:strRef>
              <c:f>'Economic &amp; Market Data'!$C$52</c:f>
              <c:strCache>
                <c:ptCount val="1"/>
                <c:pt idx="0">
                  <c:v>All items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'Economic &amp; Market Data'!$B$53:$B$99</c:f>
              <c:numCache>
                <c:formatCode>General</c:formatCode>
                <c:ptCount val="4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  <c:pt idx="46">
                  <c:v>2024</c:v>
                </c:pt>
              </c:numCache>
            </c:numRef>
          </c:cat>
          <c:val>
            <c:numRef>
              <c:f>'Economic &amp; Market Data'!$C$53:$C$99</c:f>
              <c:numCache>
                <c:formatCode>0</c:formatCode>
                <c:ptCount val="47"/>
                <c:pt idx="0">
                  <c:v>65.2</c:v>
                </c:pt>
                <c:pt idx="1">
                  <c:v>72.599999999999994</c:v>
                </c:pt>
                <c:pt idx="2">
                  <c:v>82.4</c:v>
                </c:pt>
                <c:pt idx="3">
                  <c:v>90.9</c:v>
                </c:pt>
                <c:pt idx="4">
                  <c:v>96.5</c:v>
                </c:pt>
                <c:pt idx="5">
                  <c:v>99.6</c:v>
                </c:pt>
                <c:pt idx="6">
                  <c:v>103.9</c:v>
                </c:pt>
                <c:pt idx="7">
                  <c:v>107.6</c:v>
                </c:pt>
                <c:pt idx="8">
                  <c:v>109.6</c:v>
                </c:pt>
                <c:pt idx="9">
                  <c:v>113.6</c:v>
                </c:pt>
                <c:pt idx="10">
                  <c:v>118.3</c:v>
                </c:pt>
                <c:pt idx="11">
                  <c:v>124</c:v>
                </c:pt>
                <c:pt idx="12">
                  <c:v>130.69999999999999</c:v>
                </c:pt>
                <c:pt idx="13">
                  <c:v>136.19999999999999</c:v>
                </c:pt>
                <c:pt idx="14">
                  <c:v>140.30000000000001</c:v>
                </c:pt>
                <c:pt idx="15">
                  <c:v>144.5</c:v>
                </c:pt>
                <c:pt idx="16">
                  <c:v>148.19999999999999</c:v>
                </c:pt>
                <c:pt idx="17">
                  <c:v>152.4</c:v>
                </c:pt>
                <c:pt idx="18">
                  <c:v>156.9</c:v>
                </c:pt>
                <c:pt idx="19">
                  <c:v>160.5</c:v>
                </c:pt>
                <c:pt idx="20">
                  <c:v>163</c:v>
                </c:pt>
                <c:pt idx="21">
                  <c:v>166.6</c:v>
                </c:pt>
                <c:pt idx="22">
                  <c:v>172.2</c:v>
                </c:pt>
                <c:pt idx="23">
                  <c:v>177.1</c:v>
                </c:pt>
                <c:pt idx="24">
                  <c:v>179.9</c:v>
                </c:pt>
                <c:pt idx="25">
                  <c:v>184</c:v>
                </c:pt>
                <c:pt idx="26">
                  <c:v>188.9</c:v>
                </c:pt>
                <c:pt idx="27">
                  <c:v>195.3</c:v>
                </c:pt>
                <c:pt idx="28">
                  <c:v>201.6</c:v>
                </c:pt>
                <c:pt idx="29" formatCode="#,##0">
                  <c:v>207.34200000000001</c:v>
                </c:pt>
                <c:pt idx="30" formatCode="#,##0">
                  <c:v>215.303</c:v>
                </c:pt>
                <c:pt idx="31" formatCode="#,##0">
                  <c:v>214.53700000000001</c:v>
                </c:pt>
                <c:pt idx="32" formatCode="#,##0">
                  <c:v>218.05600000000001</c:v>
                </c:pt>
                <c:pt idx="33" formatCode="#,##0">
                  <c:v>224.93899999999999</c:v>
                </c:pt>
                <c:pt idx="34" formatCode="#,##0">
                  <c:v>229.59399999999999</c:v>
                </c:pt>
                <c:pt idx="35" formatCode="#,##0">
                  <c:v>232.95699999999999</c:v>
                </c:pt>
                <c:pt idx="36" formatCode="#,##0">
                  <c:v>236.73599999999999</c:v>
                </c:pt>
                <c:pt idx="37" formatCode="#,##0">
                  <c:v>237.017</c:v>
                </c:pt>
                <c:pt idx="38" formatCode="#,##0">
                  <c:v>240.00700000000001</c:v>
                </c:pt>
                <c:pt idx="39" formatCode="#,##0">
                  <c:v>245.12</c:v>
                </c:pt>
                <c:pt idx="40" formatCode="#,##0">
                  <c:v>251.107</c:v>
                </c:pt>
                <c:pt idx="41" formatCode="#,##0">
                  <c:v>255.65700000000001</c:v>
                </c:pt>
                <c:pt idx="42" formatCode="#,##0">
                  <c:v>258.81099999999998</c:v>
                </c:pt>
                <c:pt idx="43" formatCode="#,##0">
                  <c:v>270.97000000000003</c:v>
                </c:pt>
                <c:pt idx="44" formatCode="#,##0">
                  <c:v>292.65499999999997</c:v>
                </c:pt>
                <c:pt idx="45" formatCode="#,##0">
                  <c:v>304.702</c:v>
                </c:pt>
                <c:pt idx="46" formatCode="#,##0">
                  <c:v>313.68900000000002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5-0847-B0A4-C9FD83AAEF75}"/>
            </c:ext>
          </c:extLst>
        </c:ser>
        <c:ser>
          <c:idx val="1"/>
          <c:order val="1"/>
          <c:tx>
            <c:strRef>
              <c:f>'Economic &amp; Market Data'!$D$52</c:f>
              <c:strCache>
                <c:ptCount val="1"/>
                <c:pt idx="0">
                  <c:v>Apparel (total)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'Economic &amp; Market Data'!$B$53:$B$99</c:f>
              <c:numCache>
                <c:formatCode>General</c:formatCode>
                <c:ptCount val="4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  <c:pt idx="46">
                  <c:v>2024</c:v>
                </c:pt>
              </c:numCache>
            </c:numRef>
          </c:cat>
          <c:val>
            <c:numRef>
              <c:f>'Economic &amp; Market Data'!$D$53:$D$99</c:f>
              <c:numCache>
                <c:formatCode>0</c:formatCode>
                <c:ptCount val="47"/>
                <c:pt idx="0">
                  <c:v>81.400000000000006</c:v>
                </c:pt>
                <c:pt idx="1">
                  <c:v>84.9</c:v>
                </c:pt>
                <c:pt idx="2">
                  <c:v>90.9</c:v>
                </c:pt>
                <c:pt idx="3">
                  <c:v>95.3</c:v>
                </c:pt>
                <c:pt idx="4">
                  <c:v>97.8</c:v>
                </c:pt>
                <c:pt idx="5">
                  <c:v>100.2</c:v>
                </c:pt>
                <c:pt idx="6">
                  <c:v>102.1</c:v>
                </c:pt>
                <c:pt idx="7">
                  <c:v>105</c:v>
                </c:pt>
                <c:pt idx="8">
                  <c:v>105.9</c:v>
                </c:pt>
                <c:pt idx="9">
                  <c:v>110.6</c:v>
                </c:pt>
                <c:pt idx="10">
                  <c:v>115.4</c:v>
                </c:pt>
                <c:pt idx="11">
                  <c:v>118.6</c:v>
                </c:pt>
                <c:pt idx="12">
                  <c:v>124.1</c:v>
                </c:pt>
                <c:pt idx="13">
                  <c:v>128.69999999999999</c:v>
                </c:pt>
                <c:pt idx="14">
                  <c:v>131.9</c:v>
                </c:pt>
                <c:pt idx="15">
                  <c:v>133.69999999999999</c:v>
                </c:pt>
                <c:pt idx="16">
                  <c:v>133.4</c:v>
                </c:pt>
                <c:pt idx="17">
                  <c:v>132</c:v>
                </c:pt>
                <c:pt idx="18">
                  <c:v>131.69999999999999</c:v>
                </c:pt>
                <c:pt idx="19">
                  <c:v>132.9</c:v>
                </c:pt>
                <c:pt idx="20">
                  <c:v>133</c:v>
                </c:pt>
                <c:pt idx="21">
                  <c:v>131.30000000000001</c:v>
                </c:pt>
                <c:pt idx="22">
                  <c:v>129.6</c:v>
                </c:pt>
                <c:pt idx="23">
                  <c:v>127.3</c:v>
                </c:pt>
                <c:pt idx="24">
                  <c:v>124</c:v>
                </c:pt>
                <c:pt idx="25">
                  <c:v>120.9</c:v>
                </c:pt>
                <c:pt idx="26">
                  <c:v>120.4</c:v>
                </c:pt>
                <c:pt idx="27">
                  <c:v>119.5</c:v>
                </c:pt>
                <c:pt idx="28">
                  <c:v>119.5</c:v>
                </c:pt>
                <c:pt idx="29" formatCode="#,##0">
                  <c:v>118.998</c:v>
                </c:pt>
                <c:pt idx="30" formatCode="#,##0">
                  <c:v>118.907</c:v>
                </c:pt>
                <c:pt idx="31" formatCode="#,##0">
                  <c:v>120.078</c:v>
                </c:pt>
                <c:pt idx="32" formatCode="#,##0">
                  <c:v>119.503</c:v>
                </c:pt>
                <c:pt idx="33" formatCode="#,##0">
                  <c:v>122.111</c:v>
                </c:pt>
                <c:pt idx="34" formatCode="#,##0">
                  <c:v>126.265</c:v>
                </c:pt>
                <c:pt idx="35" formatCode="#,##0">
                  <c:v>127.411</c:v>
                </c:pt>
                <c:pt idx="36" formatCode="#,##0">
                  <c:v>127.514</c:v>
                </c:pt>
                <c:pt idx="37" formatCode="#,##0">
                  <c:v>125.90300000000001</c:v>
                </c:pt>
                <c:pt idx="38" formatCode="#,##0">
                  <c:v>126.045</c:v>
                </c:pt>
                <c:pt idx="39" formatCode="#,##0">
                  <c:v>125.61199999999999</c:v>
                </c:pt>
                <c:pt idx="40" formatCode="#,##0">
                  <c:v>125.654</c:v>
                </c:pt>
                <c:pt idx="41" formatCode="#,##0">
                  <c:v>124.05200000000001</c:v>
                </c:pt>
                <c:pt idx="42" formatCode="#,##0">
                  <c:v>118.07899999999999</c:v>
                </c:pt>
                <c:pt idx="43" formatCode="#,##0">
                  <c:v>120.99299999999999</c:v>
                </c:pt>
                <c:pt idx="44" formatCode="#,##0">
                  <c:v>127.081</c:v>
                </c:pt>
                <c:pt idx="45" formatCode="#,##0">
                  <c:v>130.57900000000001</c:v>
                </c:pt>
                <c:pt idx="46" formatCode="#,##0">
                  <c:v>131.483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5-0847-B0A4-C9FD83AAE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286879"/>
        <c:axId val="2143361791"/>
      </c:lineChart>
      <c:catAx>
        <c:axId val="170728687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361791"/>
        <c:crosses val="autoZero"/>
        <c:auto val="1"/>
        <c:lblAlgn val="ctr"/>
        <c:lblOffset val="100"/>
        <c:noMultiLvlLbl val="0"/>
      </c:catAx>
      <c:valAx>
        <c:axId val="2143361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70728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/>
    <cx:plotArea>
      <cx:plotAreaRegion>
        <cx:series layoutId="treemap" uniqueId="{F7D8A1FE-3441-C847-B876-557CB253881B}"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/>
                </a:pPr>
                <a:endParaRPr lang="en-GB" sz="800" b="0" i="0" u="none" strike="noStrike" baseline="0">
                  <a:solidFill>
                    <a:sysClr val="window" lastClr="FFFFFF"/>
                  </a:solidFill>
                  <a:latin typeface="Aptos Narrow" panose="02110004020202020204"/>
                </a:endParaRPr>
              </a:p>
            </cx:txPr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microsoft.com/office/2014/relationships/chartEx" Target="../charts/chartEx1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237</xdr:row>
      <xdr:rowOff>18509</xdr:rowOff>
    </xdr:from>
    <xdr:to>
      <xdr:col>13</xdr:col>
      <xdr:colOff>568821</xdr:colOff>
      <xdr:row>250</xdr:row>
      <xdr:rowOff>100279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F7C58B-A32A-F0C1-B7E4-808F7D6196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395135</xdr:colOff>
      <xdr:row>222</xdr:row>
      <xdr:rowOff>130933</xdr:rowOff>
    </xdr:from>
    <xdr:to>
      <xdr:col>12</xdr:col>
      <xdr:colOff>153657</xdr:colOff>
      <xdr:row>236</xdr:row>
      <xdr:rowOff>16632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372541-781D-5BE3-5599-CEE75B9519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85272</xdr:colOff>
      <xdr:row>14</xdr:row>
      <xdr:rowOff>151399</xdr:rowOff>
    </xdr:from>
    <xdr:to>
      <xdr:col>10</xdr:col>
      <xdr:colOff>389466</xdr:colOff>
      <xdr:row>32</xdr:row>
      <xdr:rowOff>122115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94E78-0852-D423-B804-7072E065F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1099039</xdr:colOff>
      <xdr:row>19</xdr:row>
      <xdr:rowOff>40705</xdr:rowOff>
    </xdr:from>
    <xdr:to>
      <xdr:col>2</xdr:col>
      <xdr:colOff>1107181</xdr:colOff>
      <xdr:row>30</xdr:row>
      <xdr:rowOff>113974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EF69A47-D110-8D8E-4F4E-06FF33243DC8}"/>
            </a:ext>
          </a:extLst>
        </xdr:cNvPr>
        <xdr:cNvCxnSpPr>
          <a:endCxn id="7" idx="0"/>
        </xdr:cNvCxnSpPr>
      </xdr:nvCxnSpPr>
      <xdr:spPr>
        <a:xfrm>
          <a:off x="2206218" y="4168205"/>
          <a:ext cx="8142" cy="231205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293078</xdr:colOff>
      <xdr:row>30</xdr:row>
      <xdr:rowOff>113974</xdr:rowOff>
    </xdr:from>
    <xdr:to>
      <xdr:col>3</xdr:col>
      <xdr:colOff>464039</xdr:colOff>
      <xdr:row>32</xdr:row>
      <xdr:rowOff>146538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4496EE3-4EA7-8DBE-1C9C-DA2AB30A02A5}"/>
            </a:ext>
          </a:extLst>
        </xdr:cNvPr>
        <xdr:cNvSpPr txBox="1"/>
      </xdr:nvSpPr>
      <xdr:spPr>
        <a:xfrm>
          <a:off x="1400257" y="6480256"/>
          <a:ext cx="1628205" cy="439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050" b="1"/>
            <a:t>5.475</a:t>
          </a:r>
          <a:br>
            <a:rPr lang="en-GB" sz="1050" b="1"/>
          </a:br>
          <a:r>
            <a:rPr lang="en-GB" sz="1050" b="1"/>
            <a:t>Mean</a:t>
          </a:r>
          <a:r>
            <a:rPr lang="en-GB" sz="1050" b="1" baseline="0"/>
            <a:t> EV 1yr Valuation</a:t>
          </a:r>
          <a:endParaRPr lang="en-GB" sz="105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431800</xdr:colOff>
      <xdr:row>1</xdr:row>
      <xdr:rowOff>38100</xdr:rowOff>
    </xdr:from>
    <xdr:to>
      <xdr:col>12</xdr:col>
      <xdr:colOff>774700</xdr:colOff>
      <xdr:row>11</xdr:row>
      <xdr:rowOff>137008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03E4C-49BF-23AF-5E7D-50C18178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241300"/>
          <a:ext cx="7772400" cy="2130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353204</xdr:colOff>
      <xdr:row>1</xdr:row>
      <xdr:rowOff>193629</xdr:rowOff>
    </xdr:from>
    <xdr:to>
      <xdr:col>16</xdr:col>
      <xdr:colOff>606839</xdr:colOff>
      <xdr:row>25</xdr:row>
      <xdr:rowOff>193629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13999-8286-AD32-3DDA-FBE275F24E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245096</xdr:colOff>
      <xdr:row>5</xdr:row>
      <xdr:rowOff>5692</xdr:rowOff>
    </xdr:from>
    <xdr:to>
      <xdr:col>32</xdr:col>
      <xdr:colOff>204221</xdr:colOff>
      <xdr:row>32</xdr:row>
      <xdr:rowOff>189330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02143-0767-AA4D-EF7A-1D99E47501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613568</xdr:colOff>
      <xdr:row>31</xdr:row>
      <xdr:rowOff>161132</xdr:rowOff>
    </xdr:from>
    <xdr:to>
      <xdr:col>32</xdr:col>
      <xdr:colOff>572693</xdr:colOff>
      <xdr:row>59</xdr:row>
      <xdr:rowOff>141570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182098-047D-1549-80AF-000166226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62353</xdr:colOff>
      <xdr:row>17</xdr:row>
      <xdr:rowOff>325372</xdr:rowOff>
    </xdr:from>
    <xdr:to>
      <xdr:col>7</xdr:col>
      <xdr:colOff>1513871</xdr:colOff>
      <xdr:row>30</xdr:row>
      <xdr:rowOff>189906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364B68E3-B9AC-1835-6905-6E19F38855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15653" y="4008372"/>
              <a:ext cx="4563018" cy="27347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665480</xdr:colOff>
      <xdr:row>2</xdr:row>
      <xdr:rowOff>116840</xdr:rowOff>
    </xdr:from>
    <xdr:to>
      <xdr:col>7</xdr:col>
      <xdr:colOff>218440</xdr:colOff>
      <xdr:row>14</xdr:row>
      <xdr:rowOff>187960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616F3E-C65C-30E0-0E55-022591CE5C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233083</xdr:colOff>
      <xdr:row>31</xdr:row>
      <xdr:rowOff>52593</xdr:rowOff>
    </xdr:from>
    <xdr:to>
      <xdr:col>9</xdr:col>
      <xdr:colOff>1285240</xdr:colOff>
      <xdr:row>42</xdr:row>
      <xdr:rowOff>93233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6B6DBD-4D25-8BB4-6529-026189450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176018</xdr:colOff>
      <xdr:row>51</xdr:row>
      <xdr:rowOff>64455</xdr:rowOff>
    </xdr:from>
    <xdr:to>
      <xdr:col>22</xdr:col>
      <xdr:colOff>712983</xdr:colOff>
      <xdr:row>74</xdr:row>
      <xdr:rowOff>204379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98C58-43C1-3C17-5110-54FCEFB01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1197598</xdr:colOff>
      <xdr:row>102</xdr:row>
      <xdr:rowOff>23026</xdr:rowOff>
    </xdr:from>
    <xdr:to>
      <xdr:col>7</xdr:col>
      <xdr:colOff>748944</xdr:colOff>
      <xdr:row>114</xdr:row>
      <xdr:rowOff>119404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903C62-FF44-909E-059F-54F8ACAAC5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900868</xdr:colOff>
      <xdr:row>144</xdr:row>
      <xdr:rowOff>331625</xdr:rowOff>
    </xdr:from>
    <xdr:to>
      <xdr:col>6</xdr:col>
      <xdr:colOff>179223</xdr:colOff>
      <xdr:row>158</xdr:row>
      <xdr:rowOff>24451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4DDCFD-DE69-4038-7A50-6CAA6E918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1085850</xdr:colOff>
      <xdr:row>160</xdr:row>
      <xdr:rowOff>57150</xdr:rowOff>
    </xdr:from>
    <xdr:to>
      <xdr:col>6</xdr:col>
      <xdr:colOff>361950</xdr:colOff>
      <xdr:row>173</xdr:row>
      <xdr:rowOff>158750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CD2740-E9FF-392B-E5BF-3825C5A20A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426756</xdr:colOff>
      <xdr:row>5</xdr:row>
      <xdr:rowOff>56052</xdr:rowOff>
    </xdr:from>
    <xdr:to>
      <xdr:col>10</xdr:col>
      <xdr:colOff>67832</xdr:colOff>
      <xdr:row>19</xdr:row>
      <xdr:rowOff>125252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82929ED9-AEBE-0329-B621-1B86B3B517BB}"/>
            </a:ext>
          </a:extLst>
        </xdr:cNvPr>
        <xdr:cNvGrpSpPr/>
      </xdr:nvGrpSpPr>
      <xdr:grpSpPr>
        <a:xfrm>
          <a:off x="6206176" y="1068371"/>
          <a:ext cx="2954120" cy="2903693"/>
          <a:chOff x="6112222" y="838726"/>
          <a:chExt cx="2948983" cy="3170363"/>
        </a:xfrm>
        <a:noFill/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FE5F27AD-6710-6259-CFEC-9F1EF43981DE}"/>
              </a:ext>
            </a:extLst>
          </xdr:cNvPr>
          <xdr:cNvGraphicFramePr/>
        </xdr:nvGraphicFramePr>
        <xdr:xfrm>
          <a:off x="6112222" y="838726"/>
          <a:ext cx="2948983" cy="31703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787CC2F-F455-3D88-DFCF-9E169BC60F1D}"/>
              </a:ext>
            </a:extLst>
          </xdr:cNvPr>
          <xdr:cNvSpPr txBox="1"/>
        </xdr:nvSpPr>
        <xdr:spPr>
          <a:xfrm>
            <a:off x="8334170" y="2705878"/>
            <a:ext cx="529090" cy="28172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/>
              <a:t>52%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C626397-8D18-4848-AE8C-B3C6AD5DDC23}"/>
              </a:ext>
            </a:extLst>
          </xdr:cNvPr>
          <xdr:cNvSpPr txBox="1"/>
        </xdr:nvSpPr>
        <xdr:spPr>
          <a:xfrm>
            <a:off x="8401135" y="1689170"/>
            <a:ext cx="529090" cy="27965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/>
              <a:t>29%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2D62D30-BFD1-1E42-B9B2-7702C9B35BE1}"/>
              </a:ext>
            </a:extLst>
          </xdr:cNvPr>
          <xdr:cNvSpPr txBox="1"/>
        </xdr:nvSpPr>
        <xdr:spPr>
          <a:xfrm>
            <a:off x="6318081" y="1694893"/>
            <a:ext cx="532079" cy="28149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/>
              <a:t>24%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76BCD503-841F-034E-88A0-3A283A55EDA5}"/>
              </a:ext>
            </a:extLst>
          </xdr:cNvPr>
          <xdr:cNvSpPr txBox="1"/>
        </xdr:nvSpPr>
        <xdr:spPr>
          <a:xfrm>
            <a:off x="7262578" y="1085865"/>
            <a:ext cx="532079" cy="27965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/>
              <a:t>1 %</a:t>
            </a:r>
          </a:p>
        </xdr:txBody>
      </xdr:sp>
    </xdr:grpSp>
    <xdr:clientData/>
  </xdr:twoCellAnchor>
  <xdr:twoCellAnchor>
    <xdr:from>
      <xdr:col>6</xdr:col>
      <xdr:colOff>419242</xdr:colOff>
      <xdr:row>20</xdr:row>
      <xdr:rowOff>139968</xdr:rowOff>
    </xdr:from>
    <xdr:to>
      <xdr:col>10</xdr:col>
      <xdr:colOff>63642</xdr:colOff>
      <xdr:row>35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09AFCE-3494-04B7-AA64-7C37E263E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193434</xdr:colOff>
      <xdr:row>22</xdr:row>
      <xdr:rowOff>112510</xdr:rowOff>
    </xdr:from>
    <xdr:to>
      <xdr:col>7</xdr:col>
      <xdr:colOff>726643</xdr:colOff>
      <xdr:row>23</xdr:row>
      <xdr:rowOff>167015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01A0873-7F38-484D-A2E3-65A5D1494F72}"/>
            </a:ext>
          </a:extLst>
        </xdr:cNvPr>
        <xdr:cNvSpPr txBox="1"/>
      </xdr:nvSpPr>
      <xdr:spPr>
        <a:xfrm>
          <a:off x="6816425" y="4551575"/>
          <a:ext cx="533209" cy="256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/>
            <a:t>89 %</a:t>
          </a:r>
        </a:p>
      </xdr:txBody>
    </xdr:sp>
    <xdr:clientData/>
  </xdr:twoCellAnchor>
  <xdr:twoCellAnchor>
    <xdr:from>
      <xdr:col>8</xdr:col>
      <xdr:colOff>28880</xdr:colOff>
      <xdr:row>30</xdr:row>
      <xdr:rowOff>64513</xdr:rowOff>
    </xdr:from>
    <xdr:to>
      <xdr:col>8</xdr:col>
      <xdr:colOff>561471</xdr:colOff>
      <xdr:row>31</xdr:row>
      <xdr:rowOff>119740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6458200-9717-8549-B91F-99DE07EC50F1}"/>
            </a:ext>
          </a:extLst>
        </xdr:cNvPr>
        <xdr:cNvSpPr txBox="1"/>
      </xdr:nvSpPr>
      <xdr:spPr>
        <a:xfrm>
          <a:off x="7482712" y="6343298"/>
          <a:ext cx="532591" cy="257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/>
            <a:t>4 %</a:t>
          </a:r>
        </a:p>
      </xdr:txBody>
    </xdr:sp>
    <xdr:clientData/>
  </xdr:twoCellAnchor>
  <xdr:twoCellAnchor>
    <xdr:from>
      <xdr:col>8</xdr:col>
      <xdr:colOff>696874</xdr:colOff>
      <xdr:row>30</xdr:row>
      <xdr:rowOff>70569</xdr:rowOff>
    </xdr:from>
    <xdr:to>
      <xdr:col>9</xdr:col>
      <xdr:colOff>401822</xdr:colOff>
      <xdr:row>31</xdr:row>
      <xdr:rowOff>125074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D821D8C-B3A6-6F41-B0EA-48291C07075B}"/>
            </a:ext>
          </a:extLst>
        </xdr:cNvPr>
        <xdr:cNvSpPr txBox="1"/>
      </xdr:nvSpPr>
      <xdr:spPr>
        <a:xfrm>
          <a:off x="8150706" y="6349354"/>
          <a:ext cx="535789" cy="256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/>
            <a:t>7 %</a:t>
          </a:r>
        </a:p>
      </xdr:txBody>
    </xdr:sp>
    <xdr:clientData/>
  </xdr:twoCellAnchor>
  <xdr:twoCellAnchor>
    <xdr:from>
      <xdr:col>6</xdr:col>
      <xdr:colOff>207064</xdr:colOff>
      <xdr:row>21</xdr:row>
      <xdr:rowOff>103533</xdr:rowOff>
    </xdr:from>
    <xdr:to>
      <xdr:col>7</xdr:col>
      <xdr:colOff>185883</xdr:colOff>
      <xdr:row>22</xdr:row>
      <xdr:rowOff>136575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3A8BD2A-91E0-0290-9CD1-E5AF04171F58}"/>
            </a:ext>
          </a:extLst>
        </xdr:cNvPr>
        <xdr:cNvSpPr txBox="1"/>
      </xdr:nvSpPr>
      <xdr:spPr>
        <a:xfrm>
          <a:off x="5963477" y="4507120"/>
          <a:ext cx="80708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GB" sz="900">
              <a:solidFill>
                <a:schemeClr val="tx1">
                  <a:lumMod val="65000"/>
                  <a:lumOff val="35000"/>
                </a:schemeClr>
              </a:solidFill>
            </a:rPr>
            <a:t>(in $ millions)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1474839</xdr:colOff>
      <xdr:row>94</xdr:row>
      <xdr:rowOff>102420</xdr:rowOff>
    </xdr:from>
    <xdr:to>
      <xdr:col>6</xdr:col>
      <xdr:colOff>583790</xdr:colOff>
      <xdr:row>119</xdr:row>
      <xdr:rowOff>36052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8D6C9-8E26-B106-3BDD-9594854E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774" y="18804194"/>
          <a:ext cx="6032500" cy="50546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stantin Döbert" refreshedDate="45573.751113078702" createdVersion="8" refreshedVersion="8" minRefreshableVersion="3" recordCount="1713" xr:uid="{D25A0564-36E3-5849-8FE8-D06BECC71797}">
  <cacheSource type="worksheet">
    <worksheetSource name="Table3"/>
  </cacheSource>
  <cacheFields count="12">
    <cacheField name="Statement Code" numFmtId="0">
      <sharedItems count="1369">
        <s v="URBAN OUTFITTERS - MARKET VALUE"/>
        <s v="URBAN OUTFITTERS - PER"/>
        <s v="URBAN OUTFITTERS - 12MTH FORWARD EPS"/>
        <s v="URBAN OUTFITTERS"/>
        <s v="URBAN OUTFITTERS - 12MTH TRAILING EPS"/>
        <s v="URBAN OUTFITTERS - DIV.PER SHR."/>
        <s v="URBAN OUTFITTERS - EARNINGS PER SHR"/>
        <s v="URBAN OUTFITTERS - ACCOUNTS PAYABLE"/>
        <s v="URBAN OUTFITTERS - AMORT &amp; IMPAIR OF GOODWILL"/>
        <s v="URBAN OUTFITTERS - AMORTIZATION OF DEFERRED CHARG"/>
        <s v="URBAN OUTFITTERS - BOOK VALUE-OUT SHARES-FISCAL"/>
        <s v="URBAN OUTFITTERS - BOOK VALUE PER SHARE"/>
        <s v="URBAN OUTFITTERS - CAPITAL EXPENDITURES"/>
        <s v="URBAN OUTFITTERS - CASH"/>
        <s v="URBAN OUTFITTERS - CASH - GENERIC"/>
        <s v="URBAN OUTFITTERS - CASH &amp; SHORT TERM INVESTMENTS"/>
        <s v="URBAN OUTFITTERS - CASH DIVIDENDS PAID - TOTAL"/>
        <s v="URBAN OUTFITTERS - CASH FLOW PER SHARE"/>
        <s v="URBAN OUTFITTERS - CASH FLOW PER SHARE - FIS YR"/>
        <s v="URBAN OUTFITTERS - COMMON DIVIDENDS (CASH)"/>
        <s v="URBAN OUTFITTERS - COMMON SHAREHOLDERS' EQUITY"/>
        <s v="URBAN OUTFITTERS - COMMON STOCK"/>
        <s v="URBAN OUTFITTERS - COST OF GOODS SOLD (EXCL DEP)"/>
        <s v="URBAN OUTFITTERS - CURRENT ASSETS - TOTAL"/>
        <s v="URBAN OUTFITTERS - CURRENT LIABILITIES-TOTAL"/>
        <s v="URBAN OUTFITTERS - DEFERRED TAXES"/>
        <s v="URBAN OUTFITTERS - DEPRECIATION AND DEPLETION"/>
        <s v="URBAN OUTFITTERS - DEPRECIATION/DEPLETION/AMORT"/>
        <s v="URBAN OUTFITTERS - DIVIDENDS PER SHARE"/>
        <s v="URBAN OUTFITTERS - DIVIDENDS PER SHARE - FISCAL"/>
        <s v="URBAN OUTFITTERS - EARNINGS BEF INTEREST &amp; TAXES"/>
        <s v="URBAN OUTFITTERS - EBIT &amp; DEPRECIATION"/>
        <s v="URBAN OUTFITTERS - EARNINGS PER SHARE"/>
        <s v="URBAN OUTFITTERS - FISCAL EPS-FULLY DILUTED-YR"/>
        <s v="URBAN OUTFITTERS - ENTERPRISE VALUE"/>
        <s v="URBAN OUTFITTERS - GROSS INCOME"/>
        <s v="URBAN OUTFITTERS - IMPAIRMENT OF GOODWILL"/>
        <s v="URBAN OUTFITTERS - INCOME TAXES"/>
        <s v="URBAN OUTFITTERS - INCREASE/DECREASE IN CASH/SHOR"/>
        <s v="URBAN OUTFITTERS - INTEREST EXPENSE ON DEBT"/>
        <s v="URBAN OUTFITTERS - TOTAL INVENTORIES"/>
        <s v="URBAN OUTFITTERS - LONG TERM DEBT"/>
        <s v="URBAN OUTFITTERS - MARKET CAPITALIZATION"/>
        <s v="URBAN OUTFITTERS - NET CASH FLOW - FINANCING"/>
        <s v="URBAN OUTFITTERS - NET CASH FLOW - INVESTING"/>
        <s v="URBAN OUTFITTERS - NET CASH FLOW-OPERATING ACTIVS"/>
        <s v="URBAN OUTFITTERS - NET DEBT"/>
        <s v="URBAN OUTFITTERS - NET INCOME - DILUTED"/>
        <s v="URBAN OUTFITTERS - NET SALES OR REVENUES"/>
        <s v="URBAN OUTFITTERS - NON-OPERATING INTEREST INCOME"/>
        <s v="URBAN OUTFITTERS - OPERATING EXPENSES - TOTAL"/>
        <s v="URBAN OUTFITTERS - OPERATING INCOME"/>
        <s v="URBAN OUTFITTERS - PRETAX INCOME"/>
        <s v="URBAN OUTFITTERS - PROPERTY, PLANT &amp; EQUIP - NET"/>
        <s v="URBAN OUTFITTERS - RECEIVABLES(NET)"/>
        <s v="URBAN OUTFITTERS - SELLING, GENERAL &amp; ADMINISTRAT"/>
        <s v="URBAN OUTFITTERS - SHORT TERM DEBT &amp; CURRENT PORT"/>
        <s v="URBAN OUTFITTERS - TOTAL ASSETS"/>
        <s v="URBAN OUTFITTERS - TOTAL CAPITAL"/>
        <s v="URBAN OUTFITTERS - TOTAL DEBT"/>
        <s v="URBAN OUTFITTERS - TOTAL INTANGIBLE OT ASSETS-NET"/>
        <s v="URBAN OUTFITTERS - TOTAL LIABILITIES"/>
        <s v="URBAN OUTFITTERS - TOTAL LIABILITIES &amp; SHAREHOLDE"/>
        <s v="URBAN OUTFITTERS - TOTAL SHAREHOLDERS EQUITY"/>
        <s v="URBAN OUTFITTERS - WORKING CAPITAL"/>
        <s v="URBAN OUTFITTERS - BK VAL PS 12M FWD"/>
        <s v="URBAN OUTFITTERS - EV 12M FWD"/>
        <s v="URBAN OUTFITTERS - NET INCOME 12M FWD"/>
        <s v="URBAN OUTFITTERS - PRETAX PRF 12M FWD"/>
        <s v="URBAN OUTFITTERS - ROE 12M FWD"/>
        <s v="URBAN OUTFITTERS - SALES 12M FWD"/>
        <s v="URBAN OUTFITTERS - DECREASE/INCREASE RECEIVABLES"/>
        <s v="URBAN OUTFITTERS - DECREASE/INCR OTH ASTS/LIABILT"/>
        <s v="URBAN OUTFITTERS - DECREASE/INCREASE INVENTORIES"/>
        <s v="URBAN OUTFITTERS - DECREASE IN INVESTMENTS"/>
        <s v="INDITEX (XET) - MARKET VALUE"/>
        <s v="INDITEX (XET) - PER"/>
        <s v="INDITEX (XET) - 12MTH FORWARD EPS"/>
        <s v="INDITEX (XET)"/>
        <s v="INDITEX (XET) - 12MTH TRAILING EPS"/>
        <s v="INDITEX (XET) - DIV.PER SHR."/>
        <s v="INDITEX (XET) - EARNINGS PER SHR"/>
        <s v="INDUSTRI - ACCOUNTS PAYABLE"/>
        <s v="INDUSTRI - AMORTIZATION OF DEFERRED CHARG"/>
        <s v="INDUSTRI - AMORTIZATION-INTANGIBLE ASSETS"/>
        <s v="INDUSTRI - AMORTIZATION OF INTANGIBLES"/>
        <s v="INDUSTRI - BOOK VALUE-OUT SHARES-FISCAL"/>
        <s v="INDUSTRI - BOOK VALUE PER SHARE"/>
        <s v="INDUSTRI - CAPITAL EXPENDITURES"/>
        <s v="INDUSTRI - CASH"/>
        <s v="INDUSTRI - CASH - GENERIC"/>
        <s v="INDUSTRI - CASH &amp; SHORT TERM INVESTMENTS"/>
        <s v="INDUSTRI - CASH DIVIDENDS PAID - TOTAL"/>
        <s v="INDUSTRI - CASH FLOW PER SHARE"/>
        <s v="INDUSTRI - CASH FLOW PER SHARE - FIS YR"/>
        <s v="INDUSTRI - COMMON DIVIDENDS (CASH)"/>
        <s v="INDUSTRI - COMMON SHAREHOLDERS' EQUITY"/>
        <s v="INDUSTRI - COMMON STOCK"/>
        <s v="INDUSTRI - COST OF GOODS SOLD (EXCL DEP)"/>
        <s v="INDUSTRI - CURRENT ASSETS - TOTAL"/>
        <s v="INDUSTRI - CURRENT LIABILITIES-TOTAL"/>
        <s v="INDUSTRI - DEFERRED TAXES"/>
        <s v="INDUSTRI - DEPRECIATION AND DEPLETION"/>
        <s v="INDUSTRI - DEPRECIATION/DEPLETION/AMORT"/>
        <s v="INDUSTRI - DIVIDENDS PER SHARE"/>
        <s v="INDUSTRI - DIVIDENDS PER SHARE - FISCAL"/>
        <s v="INDUSTRI - EARNINGS BEF INTEREST &amp; TAXES"/>
        <s v="INDUSTRI - EBIT &amp; DEPRECIATION"/>
        <s v="INDUSTRI - EARNINGS PER SHARE"/>
        <s v="INDUSTRI - FISCAL EPS-FULLY DILUTED-YR"/>
        <s v="INDUSTRI - ENTERPRISE VALUE"/>
        <s v="INDUSTRI - GROSS INCOME"/>
        <s v="INDUSTRI - INCOME TAXES"/>
        <s v="INDUSTRI - INCREASE/DECREASE IN CASH/SHOR"/>
        <s v="INDUSTRI - INTEREST EXPENSE ON DEBT"/>
        <s v="INDUSTRI - TOTAL INVENTORIES"/>
        <s v="INDUSTRI - LONG TERM DEBT"/>
        <s v="INDUSTRI - MARKET CAPITALIZATION"/>
        <s v="INDUSTRI - NET CASH FLOW - FINANCING"/>
        <s v="INDUSTRI - NET CASH FLOW - INVESTING"/>
        <s v="INDUSTRI - NET CASH FLOW-OPERATING ACTIVS"/>
        <s v="INDUSTRI - NET DEBT"/>
        <s v="INDUSTRI - NET INCOME - DILUTED"/>
        <s v="INDUSTRI - NET SALES OR REVENUES"/>
        <s v="INDUSTRI - NON-OPERATING INTEREST INCOME"/>
        <s v="INDUSTRI - OPERATING EXPENSES - TOTAL"/>
        <s v="INDUSTRI - OPERATING INCOME"/>
        <s v="INDUSTRI - PRETAX INCOME"/>
        <s v="INDUSTRI - PROPERTY, PLANT &amp; EQUIP - NET"/>
        <s v="INDUSTRI - RECEIVABLES(NET)"/>
        <s v="INDUSTRI - SHORT TERM DEBT &amp; CURRENT PORT"/>
        <s v="INDUSTRI - TOTAL ASSETS"/>
        <s v="INDUSTRI - TOTAL CAPITAL"/>
        <s v="INDUSTRI - TOTAL DEBT"/>
        <s v="INDUSTRI - TOTAL INTANGIBLE OT ASSETS-NET"/>
        <s v="INDUSTRI - TOTAL LIABILITIES"/>
        <s v="INDUSTRI - TOTAL LIABILITIES &amp; SHAREHOLDE"/>
        <s v="INDUSTRI - TOTAL SHAREHOLDERS EQUITY"/>
        <s v="INDUSTRI - WORKING CAPITAL"/>
        <s v="INDITEX (XET) - BK VAL PS 12M FWD"/>
        <s v="INDITEX (XET) - EV 12M FWD"/>
        <s v="INDITEX (XET) - NET INCOME 12M FWD"/>
        <s v="INDITEX (XET) - PRETAX PRF 12M FWD"/>
        <s v="INDITEX (XET) - ROE 12M FWD"/>
        <s v="INDITEX (XET) - SALES 12M FWD"/>
        <s v="INDUSTRI - DECREASE/INCREASE RECEIVABLES"/>
        <s v="INDUSTRI - DECREASE/INCREASE INVENTORIES"/>
        <s v="INDUSTRI - DECREASE IN INVESTMENTS"/>
        <s v="INDITEX (FRA) - MARKET VALUE"/>
        <s v="INDITEX (FRA) - PER"/>
        <s v="INDITEX (FRA) - 12MTH FORWARD EPS"/>
        <s v="INDITEX (FRA)"/>
        <s v="INDITEX (FRA) - 12MTH TRAILING EPS"/>
        <s v="INDITEX (FRA) - DIV.PER SHR."/>
        <s v="INDITEX (FRA) - EARNINGS PER SHR"/>
        <s v="INDITEX (FRA) - BK VAL PS 12M FWD"/>
        <s v="INDITEX (FRA) - EV 12M FWD"/>
        <s v="INDITEX (FRA) - NET INCOME 12M FWD"/>
        <s v="INDITEX (FRA) - PRETAX PRF 12M FWD"/>
        <s v="INDITEX (FRA) - ROE 12M FWD"/>
        <s v="INDITEX (FRA) - SALES 12M FWD"/>
        <s v="LEVI STRAUSS A - MARKET VALUE"/>
        <s v="LEVI STRAUSS A - PER"/>
        <s v="LEVI STRAUSS A - 12MTH FORWARD EPS"/>
        <s v="LEVI STRAUSS A"/>
        <s v="LEVI STRAUSS A - 12MTH TRAILING EPS"/>
        <s v="LEVI STRAUSS A - DIV.PER SHR."/>
        <s v="LEVI STRAUSS A - EARNINGS PER SHR"/>
        <s v="LEVI STRAUSS &amp; CO - ACCOUNTS PAYABLE"/>
        <s v="LEVI STRAUSS &amp; CO - AMORT &amp; IMPAIR OF GOODWILL"/>
        <s v="LEVI STRAUSS &amp; CO - AMORTIZATION OF DEFERRED CHARG"/>
        <s v="LEVI STRAUSS &amp; CO - AMORTIZATION-INTANGIBLE ASSETS"/>
        <s v="LEVI STRAUSS &amp; CO - AMORTIZATION OF INTANGIBLES"/>
        <s v="LEVI STRAUSS &amp; CO - BOOK VALUE-OUT SHARES-FISCAL"/>
        <s v="LEVI STRAUSS &amp; CO - BOOK VALUE PER SHARE"/>
        <s v="LEVI STRAUSS &amp; CO - CAPITAL EXPENDITURES"/>
        <s v="LEVI STRAUSS &amp; CO - CASH"/>
        <s v="LEVI STRAUSS &amp; CO - CASH - GENERIC"/>
        <s v="LEVI STRAUSS &amp; CO - CASH &amp; SHORT TERM INVESTMENTS"/>
        <s v="LEVI STRAUSS &amp; CO - CASH DIVIDENDS PAID - TOTAL"/>
        <s v="LEVI STRAUSS &amp; CO - CASH FLOW PER SHARE"/>
        <s v="LEVI STRAUSS &amp; CO - CASH FLOW PER SHARE - FIS YR"/>
        <s v="LEVI STRAUSS &amp; CO - COMMON DIVIDENDS (CASH)"/>
        <s v="LEVI STRAUSS &amp; CO - COMMON SHAREHOLDERS' EQUITY"/>
        <s v="LEVI STRAUSS &amp; CO - COMMON STOCK"/>
        <s v="LEVI STRAUSS &amp; CO - COST OF GOODS SOLD (EXCL DEP)"/>
        <s v="LEVI STRAUSS &amp; CO - CURRENT ASSETS - TOTAL"/>
        <s v="LEVI STRAUSS &amp; CO - CURRENT LIABILITIES-TOTAL"/>
        <s v="LEVI STRAUSS &amp; CO - DEFERRED TAXES"/>
        <s v="LEVI STRAUSS &amp; CO - DEPRECIATION AND DEPLETION"/>
        <s v="LEVI STRAUSS &amp; CO - DEPRECIATION/DEPLETION/AMORT"/>
        <s v="LEVI STRAUSS &amp; CO - DIVIDENDS PER SHARE"/>
        <s v="LEVI STRAUSS &amp; CO - DIVIDENDS PER SHARE - FISCAL"/>
        <s v="LEVI STRAUSS &amp; CO - EARNINGS BEF INTEREST &amp; TAXES"/>
        <s v="LEVI STRAUSS &amp; CO - EBIT &amp; DEPRECIATION"/>
        <s v="LEVI STRAUSS &amp; CO - EARNINGS PER SHARE"/>
        <s v="LEVI STRAUSS &amp; CO - FISCAL EPS-FULLY DILUTED-YR"/>
        <s v="LEVI STRAUSS &amp; CO - ENTERPRISE VALUE"/>
        <s v="LEVI STRAUSS &amp; CO - GROSS INCOME"/>
        <s v="LEVI STRAUSS &amp; CO - IMPAIRMENT OF GOODWILL"/>
        <s v="LEVI STRAUSS &amp; CO - IMPAIRMENT- OTHER INTANGIBLES"/>
        <s v="LEVI STRAUSS &amp; CO - INCOME TAXES"/>
        <s v="LEVI STRAUSS &amp; CO - INCREASE/DECREASE IN CASH/SHOR"/>
        <s v="LEVI STRAUSS &amp; CO - INTEREST EXPENSE ON DEBT"/>
        <s v="LEVI STRAUSS &amp; CO - TOTAL INVENTORIES"/>
        <s v="LEVI STRAUSS &amp; CO - LONG TERM DEBT"/>
        <s v="LEVI STRAUSS &amp; CO - MARKET CAPITALIZATION"/>
        <s v="LEVI STRAUSS &amp; CO - NET CASH FLOW - FINANCING"/>
        <s v="LEVI STRAUSS &amp; CO - NET CASH FLOW - INVESTING"/>
        <s v="LEVI STRAUSS &amp; CO - NET CASH FLOW-OPERATING ACTIVS"/>
        <s v="LEVI STRAUSS &amp; CO - NET DEBT"/>
        <s v="LEVI STRAUSS &amp; CO - NET INCOME - DILUTED"/>
        <s v="LEVI STRAUSS &amp; CO - NET SALES OR REVENUES"/>
        <s v="LEVI STRAUSS &amp; CO - NON-OPERATING INTEREST INCOME"/>
        <s v="LEVI STRAUSS &amp; CO - OPERATING EXPENSES - TOTAL"/>
        <s v="LEVI STRAUSS &amp; CO - OPERATING INCOME"/>
        <s v="LEVI STRAUSS &amp; CO - PRETAX INCOME"/>
        <s v="LEVI STRAUSS &amp; CO - PROPERTY, PLANT &amp; EQUIP - NET"/>
        <s v="LEVI STRAUSS &amp; CO - RECEIVABLES(NET)"/>
        <s v="LEVI STRAUSS &amp; CO - SELLING, GENERAL &amp; ADMINISTRAT"/>
        <s v="LEVI STRAUSS &amp; CO - SHORT TERM DEBT &amp; CURRENT PORT"/>
        <s v="LEVI STRAUSS &amp; CO - TOTAL ASSETS"/>
        <s v="LEVI STRAUSS &amp; CO - TOTAL CAPITAL"/>
        <s v="LEVI STRAUSS &amp; CO - TOTAL DEBT"/>
        <s v="LEVI STRAUSS &amp; CO - TOTAL INTANGIBLE OT ASSETS-NET"/>
        <s v="LEVI STRAUSS &amp; CO - TOTAL LIABILITIES"/>
        <s v="LEVI STRAUSS &amp; CO - TOTAL LIABILITIES &amp; SHAREHOLDE"/>
        <s v="LEVI STRAUSS &amp; CO - TOTAL SHAREHOLDERS EQUITY"/>
        <s v="LEVI STRAUSS &amp; CO - WORKING CAPITAL"/>
        <s v="LEVI STRAUSS A - BK VAL PS 12M FWD"/>
        <s v="LEVI STRAUSS A - EV 12M FWD"/>
        <s v="LEVI STRAUSS A - NET INCOME 12M FWD"/>
        <s v="LEVI STRAUSS A - PRETAX PRF 12M FWD"/>
        <s v="LEVI STRAUSS A - ROE 12M FWD"/>
        <s v="LEVI STRAUSS A - SALES 12M FWD"/>
        <s v="LEVI STRAUSS &amp; CO - DECREASE/INCREASE RECEIVABLES"/>
        <s v="LEVI STRAUSS &amp; CO - DECREASE/INCR OTH ASTS/LIABILT"/>
        <s v="LEVI STRAUSS &amp; CO - DECREASE/INCREASE INVENTORIES"/>
        <s v="LEVI STRAUSS &amp; CO - DECREASE IN INVESTMENTS"/>
        <s v="AMER.EAG.OUTFITTERS - MARKET VALUE"/>
        <s v="AMER.EAG.OUTFITTERS - PER"/>
        <s v="AMER.EAG.OUTFITTERS - 12MTH FORWARD EPS"/>
        <s v="AMER.EAG.OUTFITTERS"/>
        <s v="AMER.EAG.OUTFITTERS - 12MTH TRAILING EPS"/>
        <s v="AMER.EAG.OUTFITTERS - DIV.PER SHR."/>
        <s v="AMER.EAG.OUTFITTERS - EARNINGS PER SHR"/>
        <s v="AMERICAN EAGLE - ACCOUNTS PAYABLE"/>
        <s v="AMERICAN EAGLE - AMORT &amp; IMPAIR OF GOODWILL"/>
        <s v="AMERICAN EAGLE - AMORTIZATION OF DEFERRED CHARG"/>
        <s v="AMERICAN EAGLE - AMORTIZATION-INTANGIBLE ASSETS"/>
        <s v="AMERICAN EAGLE - AMORTIZATION OF INTANGIBLES"/>
        <s v="AMERICAN EAGLE - BOOK VALUE-OUT SHARES-FISCAL"/>
        <s v="AMERICAN EAGLE - BOOK VALUE PER SHARE"/>
        <s v="AMERICAN EAGLE - CAPITAL EXPENDITURES"/>
        <s v="AMERICAN EAGLE - CASH"/>
        <s v="AMERICAN EAGLE - CASH - GENERIC"/>
        <s v="AMERICAN EAGLE - CASH &amp; SHORT TERM INVESTMENTS"/>
        <s v="AMERICAN EAGLE - CASH DIVIDENDS PAID - TOTAL"/>
        <s v="AMERICAN EAGLE - CASH FLOW PER SHARE"/>
        <s v="AMERICAN EAGLE - CASH FLOW PER SHARE - FIS YR"/>
        <s v="AMERICAN EAGLE - COMMON DIVIDENDS (CASH)"/>
        <s v="AMERICAN EAGLE - COMMON SHAREHOLDERS' EQUITY"/>
        <s v="AMERICAN EAGLE - COMMON STOCK"/>
        <s v="AMERICAN EAGLE - COST OF GOODS SOLD (EXCL DEP)"/>
        <s v="AMERICAN EAGLE - CURRENT ASSETS - TOTAL"/>
        <s v="AMERICAN EAGLE - CURRENT LIABILITIES-TOTAL"/>
        <s v="AMERICAN EAGLE - DEFERRED TAXES"/>
        <s v="AMERICAN EAGLE - DEPRECIATION AND DEPLETION"/>
        <s v="AMERICAN EAGLE - DEPRECIATION/DEPLETION/AMORT"/>
        <s v="AMERICAN EAGLE - DIVIDENDS PER SHARE"/>
        <s v="AMERICAN EAGLE - DIVIDENDS PER SHARE - FISCAL"/>
        <s v="AMERICAN EAGLE - EARNINGS BEF INTEREST &amp; TAXES"/>
        <s v="AMERICAN EAGLE - EBIT &amp; DEPRECIATION"/>
        <s v="AMERICAN EAGLE - EARNINGS PER SHARE"/>
        <s v="AMERICAN EAGLE - FISCAL EPS-FULLY DILUTED-YR"/>
        <s v="AMERICAN EAGLE - ENTERPRISE VALUE"/>
        <s v="AMERICAN EAGLE - GROSS INCOME"/>
        <s v="AMERICAN EAGLE - IMPAIRMENT OF GOODWILL"/>
        <s v="AMERICAN EAGLE - IMPAIRMENT- OTHER INTANGIBLES"/>
        <s v="AMERICAN EAGLE - INCOME TAXES"/>
        <s v="AMERICAN EAGLE - INCREASE/DECREASE IN CASH/SHOR"/>
        <s v="AMERICAN EAGLE - INTEREST EXPENSE ON DEBT"/>
        <s v="AMERICAN EAGLE - TOTAL INVENTORIES"/>
        <s v="AMERICAN EAGLE - LONG TERM DEBT"/>
        <s v="AMERICAN EAGLE - MARKET CAPITALIZATION"/>
        <s v="AMERICAN EAGLE - NET CASH FLOW - FINANCING"/>
        <s v="AMERICAN EAGLE - NET CASH FLOW - INVESTING"/>
        <s v="AMERICAN EAGLE - NET CASH FLOW-OPERATING ACTIVS"/>
        <s v="AMERICAN EAGLE - NET DEBT"/>
        <s v="AMERICAN EAGLE - NET INCOME - DILUTED"/>
        <s v="AMERICAN EAGLE - NET SALES OR REVENUES"/>
        <s v="AMERICAN EAGLE - NON-OPERATING INTEREST INCOME"/>
        <s v="AMERICAN EAGLE - OPERATING EXPENSES - TOTAL"/>
        <s v="AMERICAN EAGLE - OPERATING INCOME"/>
        <s v="AMERICAN EAGLE - PRETAX INCOME"/>
        <s v="AMERICAN EAGLE - PROPERTY, PLANT &amp; EQUIP - NET"/>
        <s v="AMERICAN EAGLE - RECEIVABLES(NET)"/>
        <s v="AMERICAN EAGLE - SELLING, GENERAL &amp; ADMINISTRAT"/>
        <s v="AMERICAN EAGLE - SHORT TERM DEBT &amp; CURRENT PORT"/>
        <s v="AMERICAN EAGLE - TOTAL ASSETS"/>
        <s v="AMERICAN EAGLE - TOTAL CAPITAL"/>
        <s v="AMERICAN EAGLE - TOTAL DEBT"/>
        <s v="AMERICAN EAGLE - TOTAL INTANGIBLE OT ASSETS-NET"/>
        <s v="AMERICAN EAGLE - TOTAL LIABILITIES"/>
        <s v="AMERICAN EAGLE - TOTAL LIABILITIES &amp; SHAREHOLDE"/>
        <s v="AMERICAN EAGLE - TOTAL SHAREHOLDERS EQUITY"/>
        <s v="AMERICAN EAGLE - WORKING CAPITAL"/>
        <s v="AMER.EAG.OUTFITTERS - BK VAL PS 12M FWD"/>
        <s v="AMER.EAG.OUTFITTERS - EV 12M FWD"/>
        <s v="AMER.EAG.OUTFITTERS - NET INCOME 12M FWD"/>
        <s v="AMER.EAG.OUTFITTERS - PRETAX PRF 12M FWD"/>
        <s v="AMER.EAG.OUTFITTERS - ROE 12M FWD"/>
        <s v="AMER.EAG.OUTFITTERS - SALES 12M FWD"/>
        <s v="AMERICAN EAGLE - DECREASE/INCREASE RECEIVABLES"/>
        <s v="AMERICAN EAGLE - DECREASE/INCR OTH ASTS/LIABILT"/>
        <s v="AMERICAN EAGLE - DECREASE/INCREASE INVENTORIES"/>
        <s v="AMERICAN EAGLE - DECREASE IN INVESTMENTS"/>
        <s v="ABERCROMBIE &amp; FITCH 'A' - MARKET VALUE"/>
        <s v="ABERCROMBIE &amp; FITCH 'A' - PER"/>
        <s v="ABERCROMBIE &amp; FITCH 'A' - 12MTH FORWARD EPS"/>
        <s v="ABERCROMBIE &amp; FITCH 'A'"/>
        <s v="ABERCROMBIE &amp; FITCH 'A' - 12MTH TRAILING EPS"/>
        <s v="ABERCROMBIE &amp; FITCH 'A' - DIV.PER SHR."/>
        <s v="ABERCROMBIE &amp; FITCH 'A' - EARNINGS PER SHR"/>
        <s v="ABERCROMBIE &amp; FITCH - ACCOUNTS PAYABLE"/>
        <s v="ABERCROMBIE &amp; FITCH - AMORTIZATION OF DEFERRED CHARG"/>
        <s v="ABERCROMBIE &amp; FITCH - BOOK VALUE-OUT SHARES-FISCAL"/>
        <s v="ABERCROMBIE &amp; FITCH - BOOK VALUE PER SHARE"/>
        <s v="ABERCROMBIE &amp; FITCH - CAPITAL EXPENDITURES"/>
        <s v="ABERCROMBIE &amp; FITCH - CASH"/>
        <s v="ABERCROMBIE &amp; FITCH - CASH - GENERIC"/>
        <s v="ABERCROMBIE &amp; FITCH - CASH &amp; SHORT TERM INVESTMENTS"/>
        <s v="ABERCROMBIE &amp; FITCH - CASH DIVIDENDS PAID - TOTAL"/>
        <s v="ABERCROMBIE &amp; FITCH - CASH FLOW PER SHARE"/>
        <s v="ABERCROMBIE &amp; FITCH - CASH FLOW PER SHARE - FIS YR"/>
        <s v="ABERCROMBIE &amp; FITCH - COMMON DIVIDENDS (CASH)"/>
        <s v="ABERCROMBIE &amp; FITCH - COMMON SHAREHOLDERS' EQUITY"/>
        <s v="ABERCROMBIE &amp; FITCH - COMMON STOCK"/>
        <s v="ABERCROMBIE &amp; FITCH - COST OF GOODS SOLD (EXCL DEP)"/>
        <s v="ABERCROMBIE &amp; FITCH - CURRENT ASSETS - TOTAL"/>
        <s v="ABERCROMBIE &amp; FITCH - CURRENT LIABILITIES-TOTAL"/>
        <s v="ABERCROMBIE &amp; FITCH - DEFERRED TAXES"/>
        <s v="ABERCROMBIE &amp; FITCH - DEPRECIATION AND DEPLETION"/>
        <s v="ABERCROMBIE &amp; FITCH - DEPRECIATION/DEPLETION/AMORT"/>
        <s v="ABERCROMBIE &amp; FITCH - DIVIDENDS PER SHARE"/>
        <s v="ABERCROMBIE &amp; FITCH - DIVIDENDS PER SHARE - FISCAL"/>
        <s v="ABERCROMBIE &amp; FITCH - EARNINGS BEF INTEREST &amp; TAXES"/>
        <s v="ABERCROMBIE &amp; FITCH - EBIT &amp; DEPRECIATION"/>
        <s v="ABERCROMBIE &amp; FITCH - EARNINGS PER SHARE"/>
        <s v="ABERCROMBIE &amp; FITCH - FISCAL EPS-FULLY DILUTED-YR"/>
        <s v="ABERCROMBIE &amp; FITCH - ENTERPRISE VALUE"/>
        <s v="ABERCROMBIE &amp; FITCH - GROSS INCOME"/>
        <s v="ABERCROMBIE &amp; FITCH - INCOME TAXES"/>
        <s v="ABERCROMBIE &amp; FITCH - INCREASE/DECREASE IN CASH/SHOR"/>
        <s v="ABERCROMBIE &amp; FITCH - INTEREST EXPENSE ON DEBT"/>
        <s v="ABERCROMBIE &amp; FITCH - TOTAL INVENTORIES"/>
        <s v="ABERCROMBIE &amp; FITCH - LONG TERM DEBT"/>
        <s v="ABERCROMBIE &amp; FITCH - MARKET CAPITALIZATION"/>
        <s v="ABERCROMBIE &amp; FITCH - NET CASH FLOW - FINANCING"/>
        <s v="ABERCROMBIE &amp; FITCH - NET CASH FLOW - INVESTING"/>
        <s v="ABERCROMBIE &amp; FITCH - NET CASH FLOW-OPERATING ACTIVS"/>
        <s v="ABERCROMBIE &amp; FITCH - NET DEBT"/>
        <s v="ABERCROMBIE &amp; FITCH - NET INCOME - DILUTED"/>
        <s v="ABERCROMBIE &amp; FITCH - NET SALES OR REVENUES"/>
        <s v="ABERCROMBIE &amp; FITCH - NON-OPERATING INTEREST INCOME"/>
        <s v="ABERCROMBIE &amp; FITCH - OPERATING EXPENSES - TOTAL"/>
        <s v="ABERCROMBIE &amp; FITCH - OPERATING INCOME"/>
        <s v="ABERCROMBIE &amp; FITCH - PRETAX INCOME"/>
        <s v="ABERCROMBIE &amp; FITCH - PROPERTY, PLANT &amp; EQUIP - NET"/>
        <s v="ABERCROMBIE &amp; FITCH - RECEIVABLES(NET)"/>
        <s v="ABERCROMBIE &amp; FITCH - SELLING, GENERAL &amp; ADMINISTRAT"/>
        <s v="ABERCROMBIE &amp; FITCH - SHORT TERM DEBT &amp; CURRENT PORT"/>
        <s v="ABERCROMBIE &amp; FITCH - TOTAL ASSETS"/>
        <s v="ABERCROMBIE &amp; FITCH - TOTAL CAPITAL"/>
        <s v="ABERCROMBIE &amp; FITCH - TOTAL DEBT"/>
        <s v="ABERCROMBIE &amp; FITCH - TOTAL INTANGIBLE OT ASSETS-NET"/>
        <s v="ABERCROMBIE &amp; FITCH - TOTAL LIABILITIES"/>
        <s v="ABERCROMBIE &amp; FITCH - TOTAL LIABILITIES &amp; SHAREHOLDE"/>
        <s v="ABERCROMBIE &amp; FITCH - TOTAL SHAREHOLDERS EQUITY"/>
        <s v="ABERCROMBIE &amp; FITCH - WORKING CAPITAL"/>
        <s v="ABERCROMBIE &amp; FITCH 'A' - BK VAL PS 12M FWD"/>
        <s v="ABERCROMBIE &amp; FITCH 'A' - EV 12M FWD"/>
        <s v="ABERCROMBIE &amp; FITCH 'A' - NET INCOME 12M FWD"/>
        <s v="ABERCROMBIE &amp; FITCH 'A' - PRETAX PRF 12M FWD"/>
        <s v="ABERCROMBIE &amp; FITCH 'A' - ROE 12M FWD"/>
        <s v="ABERCROMBIE &amp; FITCH 'A' - SALES 12M FWD"/>
        <s v="ABERCROMBIE &amp; FITCH - DECREASE/INCR OTH ASTS/LIABILT"/>
        <s v="ABERCROMBIE &amp; FITCH - DECREASE/INCREASE INVENTORIES"/>
        <s v="ABERCROMBIE &amp; FITCH - DECREASE IN INVESTMENTS"/>
        <s v="FAST RETAILING (FRA) - MARKET VALUE"/>
        <s v="FAST RETAILING (FRA) - PER"/>
        <s v="FAST RETAILING (FRA) - 12MTH FORWARD EPS"/>
        <s v="FAST RETAILING (FRA)"/>
        <s v="FAST RETAILING (FRA) - 12MTH TRAILING EPS"/>
        <s v="FAST RETAILING (FRA) - DIV.PER SHR."/>
        <s v="FAST RETAILING (FRA) - EARNINGS PER SHR"/>
        <s v="FAST RETAILING CO - ACCOUNTS PAYABLE"/>
        <s v="FAST RETAILING CO - AMORTIZATION OF DEFERRED CHARG"/>
        <s v="FAST RETAILING CO - AMORTIZATION-INTANGIBLE ASSETS"/>
        <s v="FAST RETAILING CO - AMORTIZATION OF INTANGIBLES"/>
        <s v="FAST RETAILING CO - BOOK VALUE-OUT SHARES-FISCAL"/>
        <s v="FAST RETAILING CO - BOOK VALUE PER SHARE"/>
        <s v="FAST RETAILING CO - CAPITAL EXPENDITURES"/>
        <s v="FAST RETAILING CO - CASH"/>
        <s v="FAST RETAILING CO - CASH - GENERIC"/>
        <s v="FAST RETAILING CO - CASH &amp; SHORT TERM INVESTMENTS"/>
        <s v="FAST RETAILING CO - CASH DIVIDENDS PAID - TOTAL"/>
        <s v="FAST RETAILING CO - CASH FLOW PER SHARE"/>
        <s v="FAST RETAILING CO - CASH FLOW PER SHARE - FIS YR"/>
        <s v="FAST RETAILING CO - COMMON DIVIDENDS (CASH)"/>
        <s v="FAST RETAILING CO - COMMON SHAREHOLDERS' EQUITY"/>
        <s v="FAST RETAILING CO - COMMON STOCK"/>
        <s v="FAST RETAILING CO - COST OF GOODS SOLD (EXCL DEP)"/>
        <s v="FAST RETAILING CO - CURRENT ASSETS - TOTAL"/>
        <s v="FAST RETAILING CO - CURRENT LIABILITIES-TOTAL"/>
        <s v="FAST RETAILING CO - DEFERRED TAXES"/>
        <s v="FAST RETAILING CO - DEPRECIATION AND DEPLETION"/>
        <s v="FAST RETAILING CO - DEPRECIATION/DEPLETION/AMORT"/>
        <s v="FAST RETAILING CO - DIVIDENDS PER SHARE"/>
        <s v="FAST RETAILING CO - DIVIDENDS PER SHARE - FISCAL"/>
        <s v="FAST RETAILING CO - EARNINGS BEF INTEREST &amp; TAXES"/>
        <s v="FAST RETAILING CO - EBIT &amp; DEPRECIATION"/>
        <s v="FAST RETAILING CO - EARNINGS PER SHARE"/>
        <s v="FAST RETAILING CO - FISCAL EPS-FULLY DILUTED-YR"/>
        <s v="FAST RETAILING CO - ENTERPRISE VALUE"/>
        <s v="FAST RETAILING CO - GROSS INCOME"/>
        <s v="FAST RETAILING CO - INCOME TAXES"/>
        <s v="FAST RETAILING CO - INCREASE/DECREASE IN CASH/SHOR"/>
        <s v="FAST RETAILING CO - INTEREST EXPENSE ON DEBT"/>
        <s v="FAST RETAILING CO - TOTAL INVENTORIES"/>
        <s v="FAST RETAILING CO - LONG TERM DEBT"/>
        <s v="FAST RETAILING CO - MARKET CAPITALIZATION"/>
        <s v="FAST RETAILING CO - NET CASH FLOW - FINANCING"/>
        <s v="FAST RETAILING CO - NET CASH FLOW - INVESTING"/>
        <s v="FAST RETAILING CO - NET CASH FLOW-OPERATING ACTIVS"/>
        <s v="FAST RETAILING CO - NET DEBT"/>
        <s v="FAST RETAILING CO - NET INCOME - DILUTED"/>
        <s v="FAST RETAILING CO - NET SALES OR REVENUES"/>
        <s v="FAST RETAILING CO - NON-OPERATING INTEREST INCOME"/>
        <s v="FAST RETAILING CO - OPERATING EXPENSES - TOTAL"/>
        <s v="FAST RETAILING CO - OPERATING INCOME"/>
        <s v="FAST RETAILING CO - PRETAX INCOME"/>
        <s v="FAST RETAILING CO - PROPERTY, PLANT &amp; EQUIP - NET"/>
        <s v="FAST RETAILING CO - RECEIVABLES(NET)"/>
        <s v="FAST RETAILING CO - SELLING, GENERAL &amp; ADMINISTRAT"/>
        <s v="FAST RETAILING CO - SHORT TERM DEBT &amp; CURRENT PORT"/>
        <s v="FAST RETAILING CO - TOTAL ASSETS"/>
        <s v="FAST RETAILING CO - TOTAL CAPITAL"/>
        <s v="FAST RETAILING CO - TOTAL DEBT"/>
        <s v="FAST RETAILING CO - TOTAL INTANGIBLE OT ASSETS-NET"/>
        <s v="FAST RETAILING CO - TOTAL LIABILITIES"/>
        <s v="FAST RETAILING CO - TOTAL LIABILITIES &amp; SHAREHOLDE"/>
        <s v="FAST RETAILING CO - TOTAL SHAREHOLDERS EQUITY"/>
        <s v="FAST RETAILING CO - WORKING CAPITAL"/>
        <s v="FAST RETAILING (FRA) - BK VAL PS 12M FWD"/>
        <s v="FAST RETAILING (FRA) - EV 12M FWD"/>
        <s v="FAST RETAILING (FRA) - NET INCOME 12M FWD"/>
        <s v="FAST RETAILING (FRA) - PRETAX PRF 12M FWD"/>
        <s v="FAST RETAILING (FRA) - ROE 12M FWD"/>
        <s v="FAST RETAILING (FRA) - SALES 12M FWD"/>
        <s v="FAST RETAILING CO - DECREASE/INCREASE RECEIVABLES"/>
        <s v="FAST RETAILING CO - DECREASE/INCR OTH ASTS/LIABILT"/>
        <s v="FAST RETAILING CO - DECREASE/INCREASE INVENTORIES"/>
        <s v="FAST RETAILING CO - DECREASE IN INVESTMENTS"/>
        <s v="NIKE 'B' - MARKET VALUE"/>
        <s v="NIKE 'B' - PER"/>
        <s v="NIKE 'B' - 12MTH FORWARD EPS"/>
        <s v="NIKE 'B'"/>
        <s v="NIKE 'B' - 12MTH TRAILING EPS"/>
        <s v="NIKE 'B' - DIV.PER SHR."/>
        <s v="NIKE 'B' - EARNINGS PER SHR"/>
        <s v="NIKE INC. - ACCOUNTS PAYABLE"/>
        <s v="NIKE INC. - AMORTIZATION OF DEFERRED CHARG"/>
        <s v="NIKE INC. - AMORTIZATION-INTANGIBLE ASSETS"/>
        <s v="NIKE INC. - AMORTIZATION OF INTANGIBLES"/>
        <s v="NIKE INC. - BOOK VALUE-OUT SHARES-FISCAL"/>
        <s v="NIKE INC. - BOOK VALUE PER SHARE"/>
        <s v="NIKE INC. - CAPITAL EXPENDITURES"/>
        <s v="NIKE INC. - CASH"/>
        <s v="NIKE INC. - CASH - GENERIC"/>
        <s v="NIKE INC. - CASH &amp; SHORT TERM INVESTMENTS"/>
        <s v="NIKE INC. - CASH DIVIDENDS PAID - TOTAL"/>
        <s v="NIKE INC. - CASH FLOW PER SHARE"/>
        <s v="NIKE INC. - CASH FLOW PER SHARE - FIS YR"/>
        <s v="NIKE INC. - COMMON DIVIDENDS (CASH)"/>
        <s v="NIKE INC. - COMMON SHAREHOLDERS' EQUITY"/>
        <s v="NIKE INC. - COMMON STOCK"/>
        <s v="NIKE INC. - COST OF GOODS SOLD (EXCL DEP)"/>
        <s v="NIKE INC. - CURRENT ASSETS - TOTAL"/>
        <s v="NIKE INC. - CURRENT LIABILITIES-TOTAL"/>
        <s v="NIKE INC. - DEFERRED TAXES"/>
        <s v="NIKE INC. - DEPRECIATION AND DEPLETION"/>
        <s v="NIKE INC. - DEPRECIATION/DEPLETION/AMORT"/>
        <s v="NIKE INC. - DIVIDENDS PER SHARE"/>
        <s v="NIKE INC. - DIVIDENDS PER SHARE - FISCAL"/>
        <s v="NIKE INC. - EARNINGS BEF INTEREST &amp; TAXES"/>
        <s v="NIKE INC. - EBIT &amp; DEPRECIATION"/>
        <s v="NIKE INC. - EARNINGS PER SHARE"/>
        <s v="NIKE INC. - FISCAL EPS-FULLY DILUTED-YR"/>
        <s v="NIKE INC. - ENTERPRISE VALUE"/>
        <s v="NIKE INC. - GROSS INCOME"/>
        <s v="NIKE INC. - INCOME TAXES"/>
        <s v="NIKE INC. - INCREASE/DECREASE IN CASH/SHOR"/>
        <s v="NIKE INC. - INTEREST EXPENSE ON DEBT"/>
        <s v="NIKE INC. - TOTAL INVENTORIES"/>
        <s v="NIKE INC. - LONG TERM DEBT"/>
        <s v="NIKE INC. - MARKET CAPITALIZATION"/>
        <s v="NIKE INC. - NET CASH FLOW - FINANCING"/>
        <s v="NIKE INC. - NET CASH FLOW - INVESTING"/>
        <s v="NIKE INC. - NET CASH FLOW-OPERATING ACTIVS"/>
        <s v="NIKE INC. - NET DEBT"/>
        <s v="NIKE INC. - NET INCOME - DILUTED"/>
        <s v="NIKE INC. - NET SALES OR REVENUES"/>
        <s v="NIKE INC. - NON-OPERATING INTEREST INCOME"/>
        <s v="NIKE INC. - OPERATING EXPENSES - TOTAL"/>
        <s v="NIKE INC. - OPERATING INCOME"/>
        <s v="NIKE INC. - PRETAX INCOME"/>
        <s v="NIKE INC. - PROPERTY, PLANT &amp; EQUIP - NET"/>
        <s v="NIKE INC. - RECEIVABLES(NET)"/>
        <s v="NIKE INC. - SELLING, GENERAL &amp; ADMINISTRAT"/>
        <s v="NIKE INC. - SHORT TERM DEBT &amp; CURRENT PORT"/>
        <s v="NIKE INC. - TOTAL ASSETS"/>
        <s v="NIKE INC. - TOTAL CAPITAL"/>
        <s v="NIKE INC. - TOTAL DEBT"/>
        <s v="NIKE INC. - TOTAL INTANGIBLE OT ASSETS-NET"/>
        <s v="NIKE INC. - TOTAL LIABILITIES"/>
        <s v="NIKE INC. - TOTAL LIABILITIES &amp; SHAREHOLDE"/>
        <s v="NIKE INC. - TOTAL SHAREHOLDERS EQUITY"/>
        <s v="NIKE INC. - WORKING CAPITAL"/>
        <s v="NIKE 'B' - BK VAL PS 12M FWD"/>
        <s v="NIKE 'B' - EV 12M FWD"/>
        <s v="NIKE 'B' - NET INCOME 12M FWD"/>
        <s v="NIKE 'B' - PRETAX PRF 12M FWD"/>
        <s v="NIKE 'B' - ROE 12M FWD"/>
        <s v="NIKE 'B' - SALES 12M FWD"/>
        <s v="NIKE INC. - DECREASE/INCREASE RECEIVABLES"/>
        <s v="NIKE INC. - DECREASE/INCR OTH ASTS/LIABILT"/>
        <s v="NIKE INC. - DECREASE/INCREASE INVENTORIES"/>
        <s v="NIKE INC. - DECREASE IN INVESTMENTS"/>
        <s v="ADIDAS - MARKET VALUE"/>
        <s v="ADIDAS - PER"/>
        <s v="ADIDAS - 12MTH FORWARD EPS"/>
        <s v="ADIDAS"/>
        <s v="ADIDAS - 12MTH TRAILING EPS"/>
        <s v="ADIDAS - DIV.PER SHR."/>
        <s v="ADIDAS - EARNINGS PER SHR"/>
        <s v="ADIDAS AG - ACCOUNTS PAYABLE"/>
        <s v="ADIDAS AG - AMORTIZATION OF DEFERRED CHARG"/>
        <s v="ADIDAS AG - AMORTIZATION OF INTANGIBLES"/>
        <s v="ADIDAS AG - BOOK VALUE-OUT SHARES-FISCAL"/>
        <s v="ADIDAS AG - BOOK VALUE PER SHARE"/>
        <s v="ADIDAS AG - CAPITAL EXPENDITURES"/>
        <s v="ADIDAS AG - CASH"/>
        <s v="ADIDAS AG - CASH - GENERIC"/>
        <s v="ADIDAS AG - CASH &amp; SHORT TERM INVESTMENTS"/>
        <s v="ADIDAS AG - CASH DIVIDENDS PAID - TOTAL"/>
        <s v="ADIDAS AG - CASH FLOW PER SHARE"/>
        <s v="ADIDAS AG - CASH FLOW PER SHARE - FIS YR"/>
        <s v="ADIDAS AG - COMMON DIVIDENDS (CASH)"/>
        <s v="ADIDAS AG - COMMON SHAREHOLDERS' EQUITY"/>
        <s v="ADIDAS AG - COMMON STOCK"/>
        <s v="ADIDAS AG - COST OF GOODS SOLD (EXCL DEP)"/>
        <s v="ADIDAS AG - CURRENT ASSETS - TOTAL"/>
        <s v="ADIDAS AG - CURRENT LIABILITIES-TOTAL"/>
        <s v="ADIDAS AG - DEFERRED TAXES"/>
        <s v="ADIDAS AG - DEPRECIATION AND DEPLETION"/>
        <s v="ADIDAS AG - DEPRECIATION/DEPLETION/AMORT"/>
        <s v="ADIDAS AG - DIVIDENDS PER SHARE"/>
        <s v="ADIDAS AG - DIVIDENDS PER SHARE - FISCAL"/>
        <s v="ADIDAS AG - EARNINGS BEF INTEREST &amp; TAXES"/>
        <s v="ADIDAS AG - EBIT &amp; DEPRECIATION"/>
        <s v="ADIDAS AG - EARNINGS PER SHARE"/>
        <s v="ADIDAS AG - FISCAL EPS-FULLY DILUTED-YR"/>
        <s v="ADIDAS AG - ENTERPRISE VALUE"/>
        <s v="ADIDAS AG - GROSS INCOME"/>
        <s v="ADIDAS AG - IMPAIRMENT- OTHER INTANGIBLES"/>
        <s v="ADIDAS AG - INCOME TAXES"/>
        <s v="ADIDAS AG - INCREASE/DECREASE IN CASH/SHOR"/>
        <s v="ADIDAS AG - INTEREST EXPENSE ON DEBT"/>
        <s v="ADIDAS AG - TOTAL INVENTORIES"/>
        <s v="ADIDAS AG - LONG TERM DEBT"/>
        <s v="ADIDAS AG - MARKET CAPITALIZATION"/>
        <s v="ADIDAS AG - NET CASH FLOW - FINANCING"/>
        <s v="ADIDAS AG - NET CASH FLOW - INVESTING"/>
        <s v="ADIDAS AG - NET CASH FLOW-OPERATING ACTIVS"/>
        <s v="ADIDAS AG - NET DEBT"/>
        <s v="ADIDAS AG - NET INCOME - DILUTED"/>
        <s v="ADIDAS AG - NET SALES OR REVENUES"/>
        <s v="ADIDAS AG - NON-OPERATING INTEREST INCOME"/>
        <s v="ADIDAS AG - OPERATING EXPENSES - TOTAL"/>
        <s v="ADIDAS AG - OPERATING INCOME"/>
        <s v="ADIDAS AG - PRETAX INCOME"/>
        <s v="ADIDAS AG - PROPERTY, PLANT &amp; EQUIP - NET"/>
        <s v="ADIDAS AG - RECEIVABLES(NET)"/>
        <s v="ADIDAS AG - RESEARCH &amp; DEVELOPMENT"/>
        <s v="ADIDAS AG - SELLING, GENERAL &amp; ADMINISTRAT"/>
        <s v="ADIDAS AG - SHORT TERM DEBT &amp; CURRENT PORT"/>
        <s v="ADIDAS AG - TOTAL ASSETS"/>
        <s v="ADIDAS AG - TOTAL CAPITAL"/>
        <s v="ADIDAS AG - TOTAL DEBT"/>
        <s v="ADIDAS AG - TOTAL INTANGIBLE OT ASSETS-NET"/>
        <s v="ADIDAS AG - TOTAL LIABILITIES"/>
        <s v="ADIDAS AG - TOTAL LIABILITIES &amp; SHAREHOLDE"/>
        <s v="ADIDAS AG - TOTAL SHAREHOLDERS EQUITY"/>
        <s v="ADIDAS AG - WORKING CAPITAL"/>
        <s v="ADIDAS - BK VAL PS 12M FWD"/>
        <s v="ADIDAS - EV 12M FWD"/>
        <s v="ADIDAS - NET INCOME 12M FWD"/>
        <s v="ADIDAS - PRETAX PRF 12M FWD"/>
        <s v="ADIDAS - ROE 12M FWD"/>
        <s v="ADIDAS - SALES 12M FWD"/>
        <s v="ADIDAS AG - DECREASE/INCREASE RECEIVABLES"/>
        <s v="ADIDAS AG - DECREASE/INCREASE INVENTORIES"/>
        <s v="ADIDAS AG - DECREASE IN INVESTMENTS"/>
        <s v="LULULEMON ATHLETICA - MARKET VALUE"/>
        <s v="LULULEMON ATHLETICA - PER"/>
        <s v="LULULEMON ATHLETICA - 12MTH FORWARD EPS"/>
        <s v="LULULEMON ATHLETICA"/>
        <s v="LULULEMON ATHLETICA - 12MTH TRAILING EPS"/>
        <s v="LULULEMON ATHLETICA - DIV.PER SHR."/>
        <s v="LULULEMON ATHLETICA - EARNINGS PER SHR"/>
        <s v="LULULEMON ATHLETIC - ACCOUNTS PAYABLE"/>
        <s v="LULULEMON ATHLETIC - AMORTIZATION OF DEFERRED CHARG"/>
        <s v="LULULEMON ATHLETIC - AMORTIZATION-INTANGIBLE ASSETS"/>
        <s v="LULULEMON ATHLETIC - AMORTIZATION OF INTANGIBLES"/>
        <s v="LULULEMON ATHLETIC - BOOK VALUE-OUT SHARES-FISCAL"/>
        <s v="LULULEMON ATHLETIC - BOOK VALUE PER SHARE"/>
        <s v="LULULEMON ATHLETIC - CAPITAL EXPENDITURES"/>
        <s v="LULULEMON ATHLETIC - CASH"/>
        <s v="LULULEMON ATHLETIC - CASH - GENERIC"/>
        <s v="LULULEMON ATHLETIC - CASH &amp; SHORT TERM INVESTMENTS"/>
        <s v="LULULEMON ATHLETIC - CASH DIVIDENDS PAID - TOTAL"/>
        <s v="LULULEMON ATHLETIC - CASH FLOW PER SHARE"/>
        <s v="LULULEMON ATHLETIC - CASH FLOW PER SHARE - FIS YR"/>
        <s v="LULULEMON ATHLETIC - COMMON DIVIDENDS (CASH)"/>
        <s v="LULULEMON ATHLETIC - COMMON SHAREHOLDERS' EQUITY"/>
        <s v="LULULEMON ATHLETIC - COMMON STOCK"/>
        <s v="LULULEMON ATHLETIC - COST OF GOODS SOLD (EXCL DEP)"/>
        <s v="LULULEMON ATHLETIC - CURRENT ASSETS - TOTAL"/>
        <s v="LULULEMON ATHLETIC - CURRENT LIABILITIES-TOTAL"/>
        <s v="LULULEMON ATHLETIC - DEFERRED TAXES"/>
        <s v="LULULEMON ATHLETIC - DEPRECIATION AND DEPLETION"/>
        <s v="LULULEMON ATHLETIC - DEPRECIATION/DEPLETION/AMORT"/>
        <s v="LULULEMON ATHLETIC - DIVIDENDS PER SHARE"/>
        <s v="LULULEMON ATHLETIC - DIVIDENDS PER SHARE - FISCAL"/>
        <s v="LULULEMON ATHLETIC - EARNINGS BEF INTEREST &amp; TAXES"/>
        <s v="LULULEMON ATHLETIC - EBIT &amp; DEPRECIATION"/>
        <s v="LULULEMON ATHLETIC - EARNINGS PER SHARE"/>
        <s v="LULULEMON ATHLETIC - FISCAL EPS-FULLY DILUTED-YR"/>
        <s v="LULULEMON ATHLETIC - ENTERPRISE VALUE"/>
        <s v="LULULEMON ATHLETIC - GROSS INCOME"/>
        <s v="LULULEMON ATHLETIC - INCOME TAXES"/>
        <s v="LULULEMON ATHLETIC - INCREASE/DECREASE IN CASH/SHOR"/>
        <s v="LULULEMON ATHLETIC - INTEREST EXPENSE ON DEBT"/>
        <s v="LULULEMON ATHLETIC - TOTAL INVENTORIES"/>
        <s v="LULULEMON ATHLETIC - LONG TERM DEBT"/>
        <s v="LULULEMON ATHLETIC - MARKET CAPITALIZATION"/>
        <s v="LULULEMON ATHLETIC - NET CASH FLOW - FINANCING"/>
        <s v="LULULEMON ATHLETIC - NET CASH FLOW - INVESTING"/>
        <s v="LULULEMON ATHLETIC - NET CASH FLOW-OPERATING ACTIVS"/>
        <s v="LULULEMON ATHLETIC - NET DEBT"/>
        <s v="LULULEMON ATHLETIC - NET INCOME - DILUTED"/>
        <s v="LULULEMON ATHLETIC - NET SALES OR REVENUES"/>
        <s v="LULULEMON ATHLETIC - NON-OPERATING INTEREST INCOME"/>
        <s v="LULULEMON ATHLETIC - OPERATING EXPENSES - TOTAL"/>
        <s v="LULULEMON ATHLETIC - OPERATING INCOME"/>
        <s v="LULULEMON ATHLETIC - PRETAX INCOME"/>
        <s v="LULULEMON ATHLETIC - PROPERTY, PLANT &amp; EQUIP - NET"/>
        <s v="LULULEMON ATHLETIC - RECEIVABLES(NET)"/>
        <s v="LULULEMON ATHLETIC - RESEARCH &amp; DEVELOPMENT"/>
        <s v="LULULEMON ATHLETIC - SELLING, GENERAL &amp; ADMINISTRAT"/>
        <s v="LULULEMON ATHLETIC - SHORT TERM DEBT &amp; CURRENT PORT"/>
        <s v="LULULEMON ATHLETIC - TOTAL ASSETS"/>
        <s v="LULULEMON ATHLETIC - TOTAL CAPITAL"/>
        <s v="LULULEMON ATHLETIC - TOTAL DEBT"/>
        <s v="LULULEMON ATHLETIC - TOTAL INTANGIBLE OT ASSETS-NET"/>
        <s v="LULULEMON ATHLETIC - TOTAL LIABILITIES"/>
        <s v="LULULEMON ATHLETIC - TOTAL LIABILITIES &amp; SHAREHOLDE"/>
        <s v="LULULEMON ATHLETIC - TOTAL SHAREHOLDERS EQUITY"/>
        <s v="LULULEMON ATHLETIC - WORKING CAPITAL"/>
        <s v="LULULEMON ATHLETICA - BK VAL PS 12M FWD"/>
        <s v="LULULEMON ATHLETICA - EV 12M FWD"/>
        <s v="LULULEMON ATHLETICA - NET INCOME 12M FWD"/>
        <s v="LULULEMON ATHLETICA - PRETAX PRF 12M FWD"/>
        <s v="LULULEMON ATHLETICA - ROE 12M FWD"/>
        <s v="LULULEMON ATHLETICA - SALES 12M FWD"/>
        <s v="LULULEMON ATHLETIC - DECREASE/INCREASE RECEIVABLES"/>
        <s v="LULULEMON ATHLETIC - DECREASE/INCR OTH ASTS/LIABILT"/>
        <s v="LULULEMON ATHLETIC - DECREASE/INCREASE INVENTORIES"/>
        <s v="LULULEMON ATHLETIC - DECREASE IN INVESTMENTS"/>
        <s v="HENNES &amp; MAURITZ B - MARKET VALUE"/>
        <s v="HENNES &amp; MAURITZ B - PER"/>
        <s v="HENNES &amp; MAURITZ B - 12MTH FORWARD EPS"/>
        <s v="HENNES &amp; MAURITZ B"/>
        <s v="HENNES &amp; MAURITZ B - 12MTH TRAILING EPS"/>
        <s v="HENNES &amp; MAURITZ B - DIV.PER SHR."/>
        <s v="HENNES &amp; MAURITZ B - EARNINGS PER SHR"/>
        <s v="HENNES &amp; MAURITZ AB - ACCOUNTS PAYABLE"/>
        <s v="HENNES &amp; MAURITZ AB - AMORTIZATION OF DEFERRED CHARG"/>
        <s v="HENNES &amp; MAURITZ AB - AMORTIZATION-INTANGIBLE ASSETS"/>
        <s v="HENNES &amp; MAURITZ AB - AMORTIZATION OF INTANGIBLES"/>
        <s v="HENNES &amp; MAURITZ AB - BOOK VALUE-OUT SHARES-FISCAL"/>
        <s v="HENNES &amp; MAURITZ AB - BOOK VALUE PER SHARE"/>
        <s v="HENNES &amp; MAURITZ AB - CAPITAL EXPENDITURES"/>
        <s v="HENNES &amp; MAURITZ AB - CASH"/>
        <s v="HENNES &amp; MAURITZ AB - CASH - GENERIC"/>
        <s v="HENNES &amp; MAURITZ AB - CASH &amp; SHORT TERM INVESTMENTS"/>
        <s v="HENNES &amp; MAURITZ AB - CASH DIVIDENDS PAID - TOTAL"/>
        <s v="HENNES &amp; MAURITZ AB - CASH FLOW PER SHARE"/>
        <s v="HENNES &amp; MAURITZ AB - CASH FLOW PER SHARE - FIS YR"/>
        <s v="HENNES &amp; MAURITZ AB - COMMON DIVIDENDS (CASH)"/>
        <s v="HENNES &amp; MAURITZ AB - COMMON SHAREHOLDERS' EQUITY"/>
        <s v="HENNES &amp; MAURITZ AB - COMMON STOCK"/>
        <s v="HENNES &amp; MAURITZ AB - COST OF GOODS SOLD (EXCL DEP)"/>
        <s v="HENNES &amp; MAURITZ AB - CURRENT ASSETS - TOTAL"/>
        <s v="HENNES &amp; MAURITZ AB - CURRENT LIABILITIES-TOTAL"/>
        <s v="HENNES &amp; MAURITZ AB - DEFERRED TAXES"/>
        <s v="HENNES &amp; MAURITZ AB - DEPRECIATION AND DEPLETION"/>
        <s v="HENNES &amp; MAURITZ AB - DEPRECIATION/DEPLETION/AMORT"/>
        <s v="HENNES &amp; MAURITZ AB - DIVIDENDS PER SHARE"/>
        <s v="HENNES &amp; MAURITZ AB - DIVIDENDS PER SHARE - FISCAL"/>
        <s v="HENNES &amp; MAURITZ AB - EARNINGS BEF INTEREST &amp; TAXES"/>
        <s v="HENNES &amp; MAURITZ AB - EBIT &amp; DEPRECIATION"/>
        <s v="HENNES &amp; MAURITZ AB - EARNINGS PER SHARE"/>
        <s v="HENNES &amp; MAURITZ AB - FISCAL EPS-FULLY DILUTED-YR"/>
        <s v="HENNES &amp; MAURITZ AB - ENTERPRISE VALUE"/>
        <s v="HENNES &amp; MAURITZ AB - GROSS INCOME"/>
        <s v="HENNES &amp; MAURITZ AB - IMPAIRMENT- OTHER INTANGIBLES"/>
        <s v="HENNES &amp; MAURITZ AB - INCOME TAXES"/>
        <s v="HENNES &amp; MAURITZ AB - INCREASE/DECREASE IN CASH/SHOR"/>
        <s v="HENNES &amp; MAURITZ AB - INTEREST EXPENSE ON DEBT"/>
        <s v="HENNES &amp; MAURITZ AB - TOTAL INVENTORIES"/>
        <s v="HENNES &amp; MAURITZ AB - LONG TERM DEBT"/>
        <s v="HENNES &amp; MAURITZ AB - MARKET CAPITALIZATION"/>
        <s v="HENNES &amp; MAURITZ AB - NET CASH FLOW - FINANCING"/>
        <s v="HENNES &amp; MAURITZ AB - NET CASH FLOW - INVESTING"/>
        <s v="HENNES &amp; MAURITZ AB - NET CASH FLOW-OPERATING ACTIVS"/>
        <s v="HENNES &amp; MAURITZ AB - NET DEBT"/>
        <s v="HENNES &amp; MAURITZ AB - NET INCOME - DILUTED"/>
        <s v="HENNES &amp; MAURITZ AB - NET SALES OR REVENUES"/>
        <s v="HENNES &amp; MAURITZ AB - NON-OPERATING INTEREST INCOME"/>
        <s v="HENNES &amp; MAURITZ AB - OPERATING EXPENSES - TOTAL"/>
        <s v="HENNES &amp; MAURITZ AB - OPERATING INCOME"/>
        <s v="HENNES &amp; MAURITZ AB - PRETAX INCOME"/>
        <s v="HENNES &amp; MAURITZ AB - PROPERTY, PLANT &amp; EQUIP - NET"/>
        <s v="HENNES &amp; MAURITZ AB - RECEIVABLES(NET)"/>
        <s v="HENNES &amp; MAURITZ AB - SELLING, GENERAL &amp; ADMINISTRAT"/>
        <s v="HENNES &amp; MAURITZ AB - SHORT TERM DEBT &amp; CURRENT PORT"/>
        <s v="HENNES &amp; MAURITZ AB - TOTAL ASSETS"/>
        <s v="HENNES &amp; MAURITZ AB - TOTAL CAPITAL"/>
        <s v="HENNES &amp; MAURITZ AB - TOTAL DEBT"/>
        <s v="HENNES &amp; MAURITZ AB - TOTAL INTANGIBLE OT ASSETS-NET"/>
        <s v="HENNES &amp; MAURITZ AB - TOTAL LIABILITIES"/>
        <s v="HENNES &amp; MAURITZ AB - TOTAL LIABILITIES &amp; SHAREHOLDE"/>
        <s v="HENNES &amp; MAURITZ AB - TOTAL SHAREHOLDERS EQUITY"/>
        <s v="HENNES &amp; MAURITZ AB - WORKING CAPITAL"/>
        <s v="HENNES &amp; MAURITZ B - BK VAL PS 12M FWD"/>
        <s v="HENNES &amp; MAURITZ B - EV 12M FWD"/>
        <s v="HENNES &amp; MAURITZ B - NET INCOME 12M FWD"/>
        <s v="HENNES &amp; MAURITZ B - PRETAX PRF 12M FWD"/>
        <s v="HENNES &amp; MAURITZ B - ROE 12M FWD"/>
        <s v="HENNES &amp; MAURITZ B - SALES 12M FWD"/>
        <s v="HENNES &amp; MAURITZ AB - DECREASE/INCREASE RECEIVABLES"/>
        <s v="HENNES &amp; MAURITZ AB - DECREASE/INCR OTH ASTS/LIABILT"/>
        <s v="HENNES &amp; MAURITZ AB - DECREASE/INCREASE INVENTORIES"/>
        <s v="HENNES &amp; MAURITZ AB - DECREASE IN INVESTMENTS"/>
        <s v="LVMH - MARKET VALUE"/>
        <s v="LVMH - PER"/>
        <s v="LVMH - 12MTH FORWARD EPS"/>
        <s v="LVMH"/>
        <s v="LVMH - 12MTH TRAILING EPS"/>
        <s v="LVMH - DIV.PER SHR."/>
        <s v="LVMH - EARNINGS PER SHR"/>
        <s v="LVMH MOET HENNESSY - ACCOUNTS PAYABLE"/>
        <s v="LVMH MOET HENNESSY - AMORT &amp; IMPAIR OF GOODWILL"/>
        <s v="LVMH MOET HENNESSY - AMORTIZATION OF DEFERRED CHARG"/>
        <s v="LVMH MOET HENNESSY - AMORTIZATION OF INTANGIBLES"/>
        <s v="LVMH MOET HENNESSY - BOOK VALUE-OUT SHARES-FISCAL"/>
        <s v="LVMH MOET HENNESSY - BOOK VALUE PER SHARE"/>
        <s v="LVMH MOET HENNESSY - CAPITAL EXPENDITURES"/>
        <s v="LVMH MOET HENNESSY - CASH"/>
        <s v="LVMH MOET HENNESSY - CASH - GENERIC"/>
        <s v="LVMH MOET HENNESSY - CASH &amp; SHORT TERM INVESTMENTS"/>
        <s v="LVMH MOET HENNESSY - CASH DIVIDENDS PAID - TOTAL"/>
        <s v="LVMH MOET HENNESSY - CASH FLOW PER SHARE"/>
        <s v="LVMH MOET HENNESSY - CASH FLOW PER SHARE - FIS YR"/>
        <s v="LVMH MOET HENNESSY - COMMON DIVIDENDS (CASH)"/>
        <s v="LVMH MOET HENNESSY - COMMON SHAREHOLDERS' EQUITY"/>
        <s v="LVMH MOET HENNESSY - COMMON STOCK"/>
        <s v="LVMH MOET HENNESSY - COST OF GOODS SOLD (EXCL DEP)"/>
        <s v="LVMH MOET HENNESSY - CURRENT ASSETS - TOTAL"/>
        <s v="LVMH MOET HENNESSY - CURRENT LIABILITIES-TOTAL"/>
        <s v="LVMH MOET HENNESSY - DEFERRED TAXES"/>
        <s v="LVMH MOET HENNESSY - DEPRECIATION AND DEPLETION"/>
        <s v="LVMH MOET HENNESSY - DEPRECIATION/DEPLETION/AMORT"/>
        <s v="LVMH MOET HENNESSY - DIVIDENDS PER SHARE"/>
        <s v="LVMH MOET HENNESSY - DIVIDENDS PER SHARE - FISCAL"/>
        <s v="LVMH MOET HENNESSY - EARNINGS BEF INTEREST &amp; TAXES"/>
        <s v="LVMH MOET HENNESSY - EBIT &amp; DEPRECIATION"/>
        <s v="LVMH MOET HENNESSY - EARNINGS PER SHARE"/>
        <s v="LVMH MOET HENNESSY - FISCAL EPS-FULLY DILUTED-YR"/>
        <s v="LVMH MOET HENNESSY - ENTERPRISE VALUE"/>
        <s v="LVMH MOET HENNESSY - GROSS INCOME"/>
        <s v="LVMH MOET HENNESSY - IMPAIRMENT OF GOODWILL"/>
        <s v="LVMH MOET HENNESSY - IMPAIRMENT- OTHER INTANGIBLES"/>
        <s v="LVMH MOET HENNESSY - INCOME TAXES"/>
        <s v="LVMH MOET HENNESSY - INCREASE/DECREASE IN CASH/SHOR"/>
        <s v="LVMH MOET HENNESSY - INTEREST EXPENSE ON DEBT"/>
        <s v="LVMH MOET HENNESSY - TOTAL INVENTORIES"/>
        <s v="LVMH MOET HENNESSY - LONG TERM DEBT"/>
        <s v="LVMH MOET HENNESSY - MARKET CAPITALIZATION"/>
        <s v="LVMH MOET HENNESSY - NET CASH FLOW - FINANCING"/>
        <s v="LVMH MOET HENNESSY - NET CASH FLOW - INVESTING"/>
        <s v="LVMH MOET HENNESSY - NET CASH FLOW-OPERATING ACTIVS"/>
        <s v="LVMH MOET HENNESSY - NET DEBT"/>
        <s v="LVMH MOET HENNESSY - NET INCOME - DILUTED"/>
        <s v="LVMH MOET HENNESSY - NET SALES OR REVENUES"/>
        <s v="LVMH MOET HENNESSY - NON-OPERATING INTEREST INCOME"/>
        <s v="LVMH MOET HENNESSY - OPERATING EXPENSES - TOTAL"/>
        <s v="LVMH MOET HENNESSY - OPERATING INCOME"/>
        <s v="LVMH MOET HENNESSY - PRETAX INCOME"/>
        <s v="LVMH MOET HENNESSY - PROPERTY, PLANT &amp; EQUIP - NET"/>
        <s v="LVMH MOET HENNESSY - RECEIVABLES(NET)"/>
        <s v="LVMH MOET HENNESSY - RESEARCH &amp; DEVELOPMENT"/>
        <s v="LVMH MOET HENNESSY - SELLING, GENERAL &amp; ADMINISTRAT"/>
        <s v="LVMH MOET HENNESSY - SHORT TERM DEBT &amp; CURRENT PORT"/>
        <s v="LVMH MOET HENNESSY - TOTAL ASSETS"/>
        <s v="LVMH MOET HENNESSY - TOTAL CAPITAL"/>
        <s v="LVMH MOET HENNESSY - TOTAL DEBT"/>
        <s v="LVMH MOET HENNESSY - TOTAL INTANGIBLE OT ASSETS-NET"/>
        <s v="LVMH MOET HENNESSY - TOTAL LIABILITIES"/>
        <s v="LVMH MOET HENNESSY - TOTAL LIABILITIES &amp; SHAREHOLDE"/>
        <s v="LVMH MOET HENNESSY - TOTAL SHAREHOLDERS EQUITY"/>
        <s v="LVMH MOET HENNESSY - WORKING CAPITAL"/>
        <s v="LVMH - BK VAL PS 12M FWD"/>
        <s v="LVMH - EV 12M FWD"/>
        <s v="LVMH - NET INCOME 12M FWD"/>
        <s v="LVMH - PRETAX PRF 12M FWD"/>
        <s v="LVMH - ROE 12M FWD"/>
        <s v="LVMH - SALES 12M FWD"/>
        <s v="LVMH MOET HENNESSY - DECREASE/INCREASE RECEIVABLES"/>
        <s v="LVMH MOET HENNESSY - DECREASE/INCR OTH ASTS/LIABILT"/>
        <s v="LVMH MOET HENNESSY - DECREASE/INCREASE INVENTORIES"/>
        <s v="LVMH MOET HENNESSY - DECREASE IN INVESTMENTS"/>
        <s v="HERMES INTL. - MARKET VALUE"/>
        <s v="HERMES INTL. - PER"/>
        <s v="HERMES INTL. - 12MTH FORWARD EPS"/>
        <s v="HERMES INTL."/>
        <s v="HERMES INTL. - 12MTH TRAILING EPS"/>
        <s v="HERMES INTL. - DIV.PER SHR."/>
        <s v="HERMES INTL. - EARNINGS PER SHR"/>
        <s v="HERMES INTERNATIONAL - ACCOUNTS PAYABLE"/>
        <s v="HERMES INTERNATIONAL - AMORTIZATION OF DEFERRED CHARG"/>
        <s v="HERMES INTERNATIONAL - AMORTIZATION-INTANGIBLE ASSETS"/>
        <s v="HERMES INTERNATIONAL - AMORTIZATION OF INTANGIBLES"/>
        <s v="HERMES INTERNATIONAL - BOOK VALUE-OUT SHARES-FISCAL"/>
        <s v="HERMES INTERNATIONAL - BOOK VALUE PER SHARE"/>
        <s v="HERMES INTERNATIONAL - CAPITAL EXPENDITURES"/>
        <s v="HERMES INTERNATIONAL - CASH"/>
        <s v="HERMES INTERNATIONAL - CASH - GENERIC"/>
        <s v="HERMES INTERNATIONAL - CASH &amp; SHORT TERM INVESTMENTS"/>
        <s v="HERMES INTERNATIONAL - CASH DIVIDENDS PAID - TOTAL"/>
        <s v="HERMES INTERNATIONAL - CASH FLOW PER SHARE"/>
        <s v="HERMES INTERNATIONAL - CASH FLOW PER SHARE - FIS YR"/>
        <s v="HERMES INTERNATIONAL - COMMON DIVIDENDS (CASH)"/>
        <s v="HERMES INTERNATIONAL - COMMON SHAREHOLDERS' EQUITY"/>
        <s v="HERMES INTERNATIONAL - COMMON STOCK"/>
        <s v="HERMES INTERNATIONAL - COST OF GOODS SOLD (EXCL DEP)"/>
        <s v="HERMES INTERNATIONAL - CURRENT ASSETS - TOTAL"/>
        <s v="HERMES INTERNATIONAL - CURRENT LIABILITIES-TOTAL"/>
        <s v="HERMES INTERNATIONAL - DEFERRED TAXES"/>
        <s v="HERMES INTERNATIONAL - DEPRECIATION AND DEPLETION"/>
        <s v="HERMES INTERNATIONAL - DEPRECIATION/DEPLETION/AMORT"/>
        <s v="HERMES INTERNATIONAL - DIVIDENDS PER SHARE"/>
        <s v="HERMES INTERNATIONAL - DIVIDENDS PER SHARE - FISCAL"/>
        <s v="HERMES INTERNATIONAL - EARNINGS BEF INTEREST &amp; TAXES"/>
        <s v="HERMES INTERNATIONAL - EBIT &amp; DEPRECIATION"/>
        <s v="HERMES INTERNATIONAL - EARNINGS PER SHARE"/>
        <s v="HERMES INTERNATIONAL - FISCAL EPS-FULLY DILUTED-YR"/>
        <s v="HERMES INTERNATIONAL - ENTERPRISE VALUE"/>
        <s v="HERMES INTERNATIONAL - GROSS INCOME"/>
        <s v="HERMES INTERNATIONAL - IMPAIRMENT- OTHER INTANGIBLES"/>
        <s v="HERMES INTERNATIONAL - INCOME TAXES"/>
        <s v="HERMES INTERNATIONAL - INCREASE/DECREASE IN CASH/SHOR"/>
        <s v="HERMES INTERNATIONAL - INTEREST EXPENSE ON DEBT"/>
        <s v="HERMES INTERNATIONAL - TOTAL INVENTORIES"/>
        <s v="HERMES INTERNATIONAL - LONG TERM DEBT"/>
        <s v="HERMES INTERNATIONAL - MARKET CAPITALIZATION"/>
        <s v="HERMES INTERNATIONAL - NET CASH FLOW - FINANCING"/>
        <s v="HERMES INTERNATIONAL - NET CASH FLOW - INVESTING"/>
        <s v="HERMES INTERNATIONAL - NET CASH FLOW-OPERATING ACTIVS"/>
        <s v="HERMES INTERNATIONAL - NET DEBT"/>
        <s v="HERMES INTERNATIONAL - NET INCOME - DILUTED"/>
        <s v="HERMES INTERNATIONAL - NET SALES OR REVENUES"/>
        <s v="HERMES INTERNATIONAL - NON-OPERATING INTEREST INCOME"/>
        <s v="HERMES INTERNATIONAL - OPERATING EXPENSES - TOTAL"/>
        <s v="HERMES INTERNATIONAL - OPERATING INCOME"/>
        <s v="HERMES INTERNATIONAL - PRETAX INCOME"/>
        <s v="HERMES INTERNATIONAL - PROPERTY, PLANT &amp; EQUIP - NET"/>
        <s v="HERMES INTERNATIONAL - RECEIVABLES(NET)"/>
        <s v="HERMES INTERNATIONAL - SELLING, GENERAL &amp; ADMINISTRAT"/>
        <s v="HERMES INTERNATIONAL - SHORT TERM DEBT &amp; CURRENT PORT"/>
        <s v="HERMES INTERNATIONAL - TOTAL ASSETS"/>
        <s v="HERMES INTERNATIONAL - TOTAL CAPITAL"/>
        <s v="HERMES INTERNATIONAL - TOTAL DEBT"/>
        <s v="HERMES INTERNATIONAL - TOTAL INTANGIBLE OT ASSETS-NET"/>
        <s v="HERMES INTERNATIONAL - TOTAL LIABILITIES"/>
        <s v="HERMES INTERNATIONAL - TOTAL LIABILITIES &amp; SHAREHOLDE"/>
        <s v="HERMES INTERNATIONAL - TOTAL SHAREHOLDERS EQUITY"/>
        <s v="HERMES INTERNATIONAL - WORKING CAPITAL"/>
        <s v="HERMES INTL. - BK VAL PS 12M FWD"/>
        <s v="HERMES INTL. - EV 12M FWD"/>
        <s v="HERMES INTL. - NET INCOME 12M FWD"/>
        <s v="HERMES INTL. - PRETAX PRF 12M FWD"/>
        <s v="HERMES INTL. - ROE 12M FWD"/>
        <s v="HERMES INTL. - SALES 12M FWD"/>
        <s v="HERMES INTERNATIONAL - DECREASE/INCREASE RECEIVABLES"/>
        <s v="HERMES INTERNATIONAL - DECREASE/INCR OTH ASTS/LIABILT"/>
        <s v="HERMES INTERNATIONAL - DECREASE/INCREASE INVENTORIES"/>
        <s v="HERMES INTERNATIONAL - DECREASE IN INVESTMENTS"/>
        <s v="CHRISTIAN DIOR - MARKET VALUE"/>
        <s v="CHRISTIAN DIOR - PER"/>
        <s v="CHRISTIAN DIOR - 12MTH FORWARD EPS"/>
        <s v="CHRISTIAN DIOR"/>
        <s v="CHRISTIAN DIOR - 12MTH TRAILING EPS"/>
        <s v="CHRISTIAN DIOR - DIV.PER SHR."/>
        <s v="CHRISTIAN DIOR - EARNINGS PER SHR"/>
        <s v="CHRISTIAN DIOR SE - ACCOUNTS PAYABLE"/>
        <s v="CHRISTIAN DIOR SE - AMORTIZATION OF DEFERRED CHARG"/>
        <s v="CHRISTIAN DIOR SE - AMORTIZATION OF INTANGIBLES"/>
        <s v="CHRISTIAN DIOR SE - BOOK VALUE-OUT SHARES-FISCAL"/>
        <s v="CHRISTIAN DIOR SE - BOOK VALUE PER SHARE"/>
        <s v="CHRISTIAN DIOR SE - CAPITAL EXPENDITURES"/>
        <s v="CHRISTIAN DIOR SE - CASH"/>
        <s v="CHRISTIAN DIOR SE - CASH - GENERIC"/>
        <s v="CHRISTIAN DIOR SE - CASH &amp; SHORT TERM INVESTMENTS"/>
        <s v="CHRISTIAN DIOR SE - CASH DIVIDENDS PAID - TOTAL"/>
        <s v="CHRISTIAN DIOR SE - CASH FLOW PER SHARE"/>
        <s v="CHRISTIAN DIOR SE - CASH FLOW PER SHARE - FIS YR"/>
        <s v="CHRISTIAN DIOR SE - COMMON DIVIDENDS (CASH)"/>
        <s v="CHRISTIAN DIOR SE - COMMON SHAREHOLDERS' EQUITY"/>
        <s v="CHRISTIAN DIOR SE - COMMON STOCK"/>
        <s v="CHRISTIAN DIOR SE - COST OF GOODS SOLD (EXCL DEP)"/>
        <s v="CHRISTIAN DIOR SE - CURRENT ASSETS - TOTAL"/>
        <s v="CHRISTIAN DIOR SE - CURRENT LIABILITIES-TOTAL"/>
        <s v="CHRISTIAN DIOR SE - DEFERRED TAXES"/>
        <s v="CHRISTIAN DIOR SE - DEPRECIATION AND DEPLETION"/>
        <s v="CHRISTIAN DIOR SE - DEPRECIATION/DEPLETION/AMORT"/>
        <s v="CHRISTIAN DIOR SE - DIVIDENDS PER SHARE"/>
        <s v="CHRISTIAN DIOR SE - DIVIDENDS PER SHARE - FISCAL"/>
        <s v="CHRISTIAN DIOR SE - EARNINGS BEF INTEREST &amp; TAXES"/>
        <s v="CHRISTIAN DIOR SE - EBIT &amp; DEPRECIATION"/>
        <s v="CHRISTIAN DIOR SE - EARNINGS PER SHARE"/>
        <s v="CHRISTIAN DIOR SE - FISCAL EPS-FULLY DILUTED-YR"/>
        <s v="CHRISTIAN DIOR SE - ENTERPRISE VALUE"/>
        <s v="CHRISTIAN DIOR SE - GROSS INCOME"/>
        <s v="CHRISTIAN DIOR SE - INCOME TAXES"/>
        <s v="CHRISTIAN DIOR SE - INCREASE/DECREASE IN CASH/SHOR"/>
        <s v="CHRISTIAN DIOR SE - INTEREST EXPENSE ON DEBT"/>
        <s v="CHRISTIAN DIOR SE - TOTAL INVENTORIES"/>
        <s v="CHRISTIAN DIOR SE - LONG TERM DEBT"/>
        <s v="CHRISTIAN DIOR SE - MARKET CAPITALIZATION"/>
        <s v="CHRISTIAN DIOR SE - NET CASH FLOW - FINANCING"/>
        <s v="CHRISTIAN DIOR SE - NET CASH FLOW - INVESTING"/>
        <s v="CHRISTIAN DIOR SE - NET CASH FLOW-OPERATING ACTIVS"/>
        <s v="CHRISTIAN DIOR SE - NET DEBT"/>
        <s v="CHRISTIAN DIOR SE - NET INCOME - DILUTED"/>
        <s v="CHRISTIAN DIOR SE - NET SALES OR REVENUES"/>
        <s v="CHRISTIAN DIOR SE - NON-OPERATING INTEREST INCOME"/>
        <s v="CHRISTIAN DIOR SE - OPERATING EXPENSES - TOTAL"/>
        <s v="CHRISTIAN DIOR SE - OPERATING INCOME"/>
        <s v="CHRISTIAN DIOR SE - PRETAX INCOME"/>
        <s v="CHRISTIAN DIOR SE - PROPERTY, PLANT &amp; EQUIP - NET"/>
        <s v="CHRISTIAN DIOR SE - RECEIVABLES(NET)"/>
        <s v="CHRISTIAN DIOR SE - RESEARCH &amp; DEVELOPMENT"/>
        <s v="CHRISTIAN DIOR SE - SELLING, GENERAL &amp; ADMINISTRAT"/>
        <s v="CHRISTIAN DIOR SE - SHORT TERM DEBT &amp; CURRENT PORT"/>
        <s v="CHRISTIAN DIOR SE - TOTAL ASSETS"/>
        <s v="CHRISTIAN DIOR SE - TOTAL CAPITAL"/>
        <s v="CHRISTIAN DIOR SE - TOTAL DEBT"/>
        <s v="CHRISTIAN DIOR SE - TOTAL INTANGIBLE OT ASSETS-NET"/>
        <s v="CHRISTIAN DIOR SE - TOTAL LIABILITIES"/>
        <s v="CHRISTIAN DIOR SE - TOTAL LIABILITIES &amp; SHAREHOLDE"/>
        <s v="CHRISTIAN DIOR SE - TOTAL SHAREHOLDERS EQUITY"/>
        <s v="CHRISTIAN DIOR SE - WORKING CAPITAL"/>
        <s v="CHRISTIAN DIOR - BK VAL PS 12M FWD"/>
        <s v="CHRISTIAN DIOR - EV 12M FWD"/>
        <s v="CHRISTIAN DIOR - NET INCOME 12M FWD"/>
        <s v="CHRISTIAN DIOR - PRETAX PRF 12M FWD"/>
        <s v="CHRISTIAN DIOR - ROE 12M FWD"/>
        <s v="CHRISTIAN DIOR - SALES 12M FWD"/>
        <s v="CHRISTIAN DIOR SE - DECREASE/INCREASE RECEIVABLES"/>
        <s v="CHRISTIAN DIOR SE - DECREASE/INCR OTH ASTS/LIABILT"/>
        <s v="CHRISTIAN DIOR SE - DECREASE/INCREASE INVENTORIES"/>
        <s v="CHRISTIAN DIOR SE - DECREASE IN INVESTMENTS"/>
        <s v="PRADA S P 'A' - MARKET VALUE"/>
        <s v="PRADA S P 'A' - PER"/>
        <s v="PRADA S P 'A' - 12MTH FORWARD EPS"/>
        <s v="PRADA S P 'A'"/>
        <s v="PRADA S P 'A' - 12MTH TRAILING EPS"/>
        <s v="PRADA S P 'A' - DIV.PER SHR."/>
        <s v="PRADA S P 'A' - EARNINGS PER SHR"/>
        <s v="PRADA SPA - ACCOUNTS PAYABLE"/>
        <s v="PRADA SPA - AMORT &amp; IMPAIR OF GOODWILL"/>
        <s v="PRADA SPA - AMORTIZATION OF DEFERRED CHARG"/>
        <s v="PRADA SPA - AMORTIZATION-INTANGIBLE ASSETS"/>
        <s v="PRADA SPA - AMORTIZATION OF INTANGIBLES"/>
        <s v="PRADA SPA - BOOK VALUE-OUT SHARES-FISCAL"/>
        <s v="PRADA SPA - BOOK VALUE PER SHARE"/>
        <s v="PRADA SPA - CAPITAL EXPENDITURES"/>
        <s v="PRADA SPA - CASH"/>
        <s v="PRADA SPA - CASH - GENERIC"/>
        <s v="PRADA SPA - CASH &amp; SHORT TERM INVESTMENTS"/>
        <s v="PRADA SPA - CASH DIVIDENDS PAID - TOTAL"/>
        <s v="PRADA SPA - CASH FLOW PER SHARE"/>
        <s v="PRADA SPA - CASH FLOW PER SHARE - FIS YR"/>
        <s v="PRADA SPA - COMMON DIVIDENDS (CASH)"/>
        <s v="PRADA SPA - COMMON SHAREHOLDERS' EQUITY"/>
        <s v="PRADA SPA - COMMON STOCK"/>
        <s v="PRADA SPA - COST OF GOODS SOLD (EXCL DEP)"/>
        <s v="PRADA SPA - CURRENT ASSETS - TOTAL"/>
        <s v="PRADA SPA - CURRENT LIABILITIES-TOTAL"/>
        <s v="PRADA SPA - DEFERRED TAXES"/>
        <s v="PRADA SPA - DEPRECIATION AND DEPLETION"/>
        <s v="PRADA SPA - DEPRECIATION/DEPLETION/AMORT"/>
        <s v="PRADA SPA - DIVIDENDS PER SHARE"/>
        <s v="PRADA SPA - DIVIDENDS PER SHARE - FISCAL"/>
        <s v="PRADA SPA - EARNINGS BEF INTEREST &amp; TAXES"/>
        <s v="PRADA SPA - EBIT &amp; DEPRECIATION"/>
        <s v="PRADA SPA - EARNINGS PER SHARE"/>
        <s v="PRADA SPA - FISCAL EPS-FULLY DILUTED-YR"/>
        <s v="PRADA SPA - ENTERPRISE VALUE"/>
        <s v="PRADA SPA - GROSS INCOME"/>
        <s v="PRADA SPA - IMPAIRMENT OF GOODWILL"/>
        <s v="PRADA SPA - IMPAIRMENT- OTHER INTANGIBLES"/>
        <s v="PRADA SPA - INCOME TAXES"/>
        <s v="PRADA SPA - INCREASE/DECREASE IN CASH/SHOR"/>
        <s v="PRADA SPA - INTEREST EXPENSE ON DEBT"/>
        <s v="PRADA SPA - TOTAL INVENTORIES"/>
        <s v="PRADA SPA - LONG TERM DEBT"/>
        <s v="PRADA SPA - MARKET CAPITALIZATION"/>
        <s v="PRADA SPA - NET CASH FLOW - FINANCING"/>
        <s v="PRADA SPA - NET CASH FLOW - INVESTING"/>
        <s v="PRADA SPA - NET CASH FLOW-OPERATING ACTIVS"/>
        <s v="PRADA SPA - NET DEBT"/>
        <s v="PRADA SPA - NET INCOME - DILUTED"/>
        <s v="PRADA SPA - NET SALES OR REVENUES"/>
        <s v="PRADA SPA - NON-OPERATING INTEREST INCOME"/>
        <s v="PRADA SPA - OPERATING EXPENSES - TOTAL"/>
        <s v="PRADA SPA - OPERATING INCOME"/>
        <s v="PRADA SPA - PRETAX INCOME"/>
        <s v="PRADA SPA - PROPERTY, PLANT &amp; EQUIP - NET"/>
        <s v="PRADA SPA - RECEIVABLES(NET)"/>
        <s v="PRADA SPA - RESEARCH &amp; DEVELOPMENT"/>
        <s v="PRADA SPA - SELLING, GENERAL &amp; ADMINISTRAT"/>
        <s v="PRADA SPA - SHORT TERM DEBT &amp; CURRENT PORT"/>
        <s v="PRADA SPA - TOTAL ASSETS"/>
        <s v="PRADA SPA - TOTAL CAPITAL"/>
        <s v="PRADA SPA - TOTAL DEBT"/>
        <s v="PRADA SPA - TOTAL INTANGIBLE OT ASSETS-NET"/>
        <s v="PRADA SPA - TOTAL LIABILITIES"/>
        <s v="PRADA SPA - TOTAL LIABILITIES &amp; SHAREHOLDE"/>
        <s v="PRADA SPA - TOTAL SHAREHOLDERS EQUITY"/>
        <s v="PRADA SPA - WORKING CAPITAL"/>
        <s v="PRADA S P 'A' - BK VAL PS 12M FWD"/>
        <s v="PRADA S P 'A' - EV 12M FWD"/>
        <s v="PRADA S P 'A' - NET INCOME 12M FWD"/>
        <s v="PRADA S P 'A' - PRETAX PRF 12M FWD"/>
        <s v="PRADA S P 'A' - ROE 12M FWD"/>
        <s v="PRADA S P 'A' - SALES 12M FWD"/>
        <s v="PRADA SPA - CHANGE IN INVENTORY"/>
        <s v="PRADA SPA - DECREASE/INCREASE RECEIVABLES"/>
        <s v="PRADA SPA - DECREASE/INCR OTH ASTS/LIABILT"/>
        <s v="PRADA SPA - DECREASE/INCREASE INVENTORIES"/>
        <s v="PRADA SPA - DECREASE IN INVESTMENTS"/>
        <s v="TJX - MARKET VALUE"/>
        <s v="TJX - PER"/>
        <s v="TJX - 12MTH FORWARD EPS"/>
        <s v="TJX"/>
        <s v="TJX - 12MTH TRAILING EPS"/>
        <s v="TJX - DIV.PER SHR."/>
        <s v="TJX - EARNINGS PER SHR"/>
        <s v="TJX COMPANIES INC - ACCOUNTS PAYABLE"/>
        <s v="TJX COMPANIES INC - AMORT &amp; IMPAIR OF GOODWILL"/>
        <s v="TJX COMPANIES INC - BOOK VALUE-OUT SHARES-FISCAL"/>
        <s v="TJX COMPANIES INC - BOOK VALUE PER SHARE"/>
        <s v="TJX COMPANIES INC - CAPITAL EXPENDITURES"/>
        <s v="TJX COMPANIES INC - CASH"/>
        <s v="TJX COMPANIES INC - CASH - GENERIC"/>
        <s v="TJX COMPANIES INC - CASH &amp; SHORT TERM INVESTMENTS"/>
        <s v="TJX COMPANIES INC - CASH DIVIDENDS PAID - TOTAL"/>
        <s v="TJX COMPANIES INC - CASH FLOW PER SHARE"/>
        <s v="TJX COMPANIES INC - CASH FLOW PER SHARE - FIS YR"/>
        <s v="TJX COMPANIES INC - COMMON DIVIDENDS (CASH)"/>
        <s v="TJX COMPANIES INC - COMMON SHAREHOLDERS' EQUITY"/>
        <s v="TJX COMPANIES INC - COMMON STOCK"/>
        <s v="TJX COMPANIES INC - COST OF GOODS SOLD (EXCL DEP)"/>
        <s v="TJX COMPANIES INC - CURRENT ASSETS - TOTAL"/>
        <s v="TJX COMPANIES INC - CURRENT LIABILITIES-TOTAL"/>
        <s v="TJX COMPANIES INC - DEFERRED TAXES"/>
        <s v="TJX COMPANIES INC - DEPRECIATION AND DEPLETION"/>
        <s v="TJX COMPANIES INC - DEPRECIATION/DEPLETION/AMORT"/>
        <s v="TJX COMPANIES INC - DIVIDENDS PER SHARE"/>
        <s v="TJX COMPANIES INC - DIVIDENDS PER SHARE - FISCAL"/>
        <s v="TJX COMPANIES INC - EARNINGS BEF INTEREST &amp; TAXES"/>
        <s v="TJX COMPANIES INC - EBIT &amp; DEPRECIATION"/>
        <s v="TJX COMPANIES INC - EARNINGS PER SHARE"/>
        <s v="TJX COMPANIES INC - FISCAL EPS-FULLY DILUTED-YR"/>
        <s v="TJX COMPANIES INC - ENTERPRISE VALUE"/>
        <s v="TJX COMPANIES INC - GROSS INCOME"/>
        <s v="TJX COMPANIES INC - IMPAIRMENT OF GOODWILL"/>
        <s v="TJX COMPANIES INC - INCOME TAXES"/>
        <s v="TJX COMPANIES INC - INCREASE/DECREASE IN CASH/SHOR"/>
        <s v="TJX COMPANIES INC - INTEREST EXPENSE ON DEBT"/>
        <s v="TJX COMPANIES INC - TOTAL INVENTORIES"/>
        <s v="TJX COMPANIES INC - LONG TERM DEBT"/>
        <s v="TJX COMPANIES INC - MARKET CAPITALIZATION"/>
        <s v="TJX COMPANIES INC - NET CASH FLOW - FINANCING"/>
        <s v="TJX COMPANIES INC - NET CASH FLOW - INVESTING"/>
        <s v="TJX COMPANIES INC - NET CASH FLOW-OPERATING ACTIVS"/>
        <s v="TJX COMPANIES INC - NET DEBT"/>
        <s v="TJX COMPANIES INC - NET INCOME - DILUTED"/>
        <s v="TJX COMPANIES INC - NET SALES OR REVENUES"/>
        <s v="TJX COMPANIES INC - NON-OPERATING INTEREST INCOME"/>
        <s v="TJX COMPANIES INC - OPERATING EXPENSES - TOTAL"/>
        <s v="TJX COMPANIES INC - OPERATING INCOME"/>
        <s v="TJX COMPANIES INC - PRETAX INCOME"/>
        <s v="TJX COMPANIES INC - PROPERTY, PLANT &amp; EQUIP - NET"/>
        <s v="TJX COMPANIES INC - RECEIVABLES(NET)"/>
        <s v="TJX COMPANIES INC - SELLING, GENERAL &amp; ADMINISTRAT"/>
        <s v="TJX COMPANIES INC - SHORT TERM DEBT &amp; CURRENT PORT"/>
        <s v="TJX COMPANIES INC - TOTAL ASSETS"/>
        <s v="TJX COMPANIES INC - TOTAL CAPITAL"/>
        <s v="TJX COMPANIES INC - TOTAL DEBT"/>
        <s v="TJX COMPANIES INC - TOTAL INTANGIBLE OT ASSETS-NET"/>
        <s v="TJX COMPANIES INC - TOTAL LIABILITIES"/>
        <s v="TJX COMPANIES INC - TOTAL LIABILITIES &amp; SHAREHOLDE"/>
        <s v="TJX COMPANIES INC - TOTAL SHAREHOLDERS EQUITY"/>
        <s v="TJX COMPANIES INC - WORKING CAPITAL"/>
        <s v="TJX - BK VAL PS 12M FWD"/>
        <s v="TJX - EV 12M FWD"/>
        <s v="TJX - NET INCOME 12M FWD"/>
        <s v="TJX - PRETAX PRF 12M FWD"/>
        <s v="TJX - ROE 12M FWD"/>
        <s v="TJX - SALES 12M FWD"/>
        <s v="TJX COMPANIES INC - DECREASE/INCREASE RECEIVABLES"/>
        <s v="TJX COMPANIES INC - DECREASE/INCR OTH ASTS/LIABILT"/>
        <s v="TJX COMPANIES INC - DECREASE/INCREASE INVENTORIES"/>
        <s v="TJX COMPANIES INC - DECREASE IN INVESTMENTS"/>
        <s v="GAP - MARKET VALUE"/>
        <s v="GAP - PER"/>
        <s v="GAP - 12MTH FORWARD EPS"/>
        <s v="GAP"/>
        <s v="GAP - 12MTH TRAILING EPS"/>
        <s v="GAP - DIV.PER SHR."/>
        <s v="GAP - EARNINGS PER SHR"/>
        <s v="GAP INC - ACCOUNTS PAYABLE"/>
        <s v="GAP INC - AMORTIZATION-INTANGIBLE ASSETS"/>
        <s v="GAP INC - AMORTIZATION OF INTANGIBLES"/>
        <s v="GAP INC - BOOK VALUE-OUT SHARES-FISCAL"/>
        <s v="GAP INC - BOOK VALUE PER SHARE"/>
        <s v="GAP INC - CAPITAL EXPENDITURES"/>
        <s v="GAP INC - CASH"/>
        <s v="GAP INC - CASH - GENERIC"/>
        <s v="GAP INC - CASH &amp; SHORT TERM INVESTMENTS"/>
        <s v="GAP INC - CASH DIVIDENDS PAID - TOTAL"/>
        <s v="GAP INC - CASH FLOW PER SHARE"/>
        <s v="GAP INC - CASH FLOW PER SHARE - FIS YR"/>
        <s v="GAP INC - COMMON DIVIDENDS (CASH)"/>
        <s v="GAP INC - COMMON SHAREHOLDERS' EQUITY"/>
        <s v="GAP INC - COMMON STOCK"/>
        <s v="GAP INC - COST OF GOODS SOLD (EXCL DEP)"/>
        <s v="GAP INC - CURRENT ASSETS - TOTAL"/>
        <s v="GAP INC - CURRENT LIABILITIES-TOTAL"/>
        <s v="GAP INC - DEPRECIATION AND DEPLETION"/>
        <s v="GAP INC - DEPRECIATION/DEPLETION/AMORT"/>
        <s v="GAP INC - DIVIDENDS PER SHARE"/>
        <s v="GAP INC - DIVIDENDS PER SHARE - FISCAL"/>
        <s v="GAP INC - EARNINGS BEF INTEREST &amp; TAXES"/>
        <s v="GAP INC - EBIT &amp; DEPRECIATION"/>
        <s v="GAP INC - EARNINGS PER SHARE"/>
        <s v="GAP INC - FISCAL EPS-FULLY DILUTED-YR"/>
        <s v="GAP INC - ENTERPRISE VALUE"/>
        <s v="GAP INC - GROSS INCOME"/>
        <s v="GAP INC - IMPAIRMENT- OTHER INTANGIBLES"/>
        <s v="GAP INC - INCOME TAXES"/>
        <s v="GAP INC - INCREASE/DECREASE IN CASH/SHOR"/>
        <s v="GAP INC - INTEREST EXPENSE ON DEBT"/>
        <s v="GAP INC - TOTAL INVENTORIES"/>
        <s v="GAP INC - LONG TERM DEBT"/>
        <s v="GAP INC - MARKET CAPITALIZATION"/>
        <s v="GAP INC - NET CASH FLOW - FINANCING"/>
        <s v="GAP INC - NET CASH FLOW - INVESTING"/>
        <s v="GAP INC - NET CASH FLOW-OPERATING ACTIVS"/>
        <s v="GAP INC - NET DEBT"/>
        <s v="GAP INC - NET INCOME - DILUTED"/>
        <s v="GAP INC - NET SALES OR REVENUES"/>
        <s v="GAP INC - NON-OPERATING INTEREST INCOME"/>
        <s v="GAP INC - OPERATING EXPENSES - TOTAL"/>
        <s v="GAP INC - OPERATING INCOME"/>
        <s v="GAP INC - PRETAX INCOME"/>
        <s v="GAP INC - PROPERTY, PLANT &amp; EQUIP - NET"/>
        <s v="GAP INC - RECEIVABLES(NET)"/>
        <s v="GAP INC - RESEARCH &amp; DEVELOPMENT"/>
        <s v="GAP INC - SELLING, GENERAL &amp; ADMINISTRAT"/>
        <s v="GAP INC - SHORT TERM DEBT &amp; CURRENT PORT"/>
        <s v="GAP INC - TOTAL ASSETS"/>
        <s v="GAP INC - TOTAL CAPITAL"/>
        <s v="GAP INC - TOTAL DEBT"/>
        <s v="GAP INC - TOTAL INTANGIBLE OT ASSETS-NET"/>
        <s v="GAP INC - TOTAL LIABILITIES"/>
        <s v="GAP INC - TOTAL LIABILITIES &amp; SHAREHOLDE"/>
        <s v="GAP INC - TOTAL SHAREHOLDERS EQUITY"/>
        <s v="GAP INC - WORKING CAPITAL"/>
        <s v="GAP - BK VAL PS 12M FWD"/>
        <s v="GAP - EV 12M FWD"/>
        <s v="GAP - NET INCOME 12M FWD"/>
        <s v="GAP - PRETAX PRF 12M FWD"/>
        <s v="GAP - ROE 12M FWD"/>
        <s v="GAP - SALES 12M FWD"/>
        <s v="GAP INC - DECREASE/INCR OTH ASTS/LIABILT"/>
        <s v="GAP INC - DECREASE/INCREASE INVENTORIES"/>
        <s v="GAP INC - DECREASE IN INVESTMENTS"/>
        <s v="NORDSTROM - MARKET VALUE"/>
        <s v="NORDSTROM - PER"/>
        <s v="NORDSTROM - 12MTH FORWARD EPS"/>
        <s v="NORDSTROM"/>
        <s v="NORDSTROM - 12MTH TRAILING EPS"/>
        <s v="NORDSTROM - DIV.PER SHR."/>
        <s v="NORDSTROM - EARNINGS PER SHR"/>
        <s v="NORDSTROM, INC. - ACCOUNTS PAYABLE"/>
        <s v="NORDSTROM, INC. - AMORTIZATION OF DEFERRED CHARG"/>
        <s v="NORDSTROM, INC. - AMORTIZATION-INTANGIBLE ASSETS"/>
        <s v="NORDSTROM, INC. - AMORTIZATION OF INTANGIBLES"/>
        <s v="NORDSTROM, INC. - BOOK VALUE-OUT SHARES-FISCAL"/>
        <s v="NORDSTROM, INC. - BOOK VALUE PER SHARE"/>
        <s v="NORDSTROM, INC. - CAPITAL EXPENDITURES"/>
        <s v="NORDSTROM, INC. - CASH"/>
        <s v="NORDSTROM, INC. - CASH - GENERIC"/>
        <s v="NORDSTROM, INC. - CASH &amp; SHORT TERM INVESTMENTS"/>
        <s v="NORDSTROM, INC. - CASH DIVIDENDS PAID - TOTAL"/>
        <s v="NORDSTROM, INC. - CASH FLOW PER SHARE"/>
        <s v="NORDSTROM, INC. - CASH FLOW PER SHARE - FIS YR"/>
        <s v="NORDSTROM, INC. - COMMON DIVIDENDS (CASH)"/>
        <s v="NORDSTROM, INC. - COMMON SHAREHOLDERS' EQUITY"/>
        <s v="NORDSTROM, INC. - COMMON STOCK"/>
        <s v="NORDSTROM, INC. - COST OF GOODS SOLD (EXCL DEP)"/>
        <s v="NORDSTROM, INC. - CURRENT ASSETS - TOTAL"/>
        <s v="NORDSTROM, INC. - CURRENT LIABILITIES-TOTAL"/>
        <s v="NORDSTROM, INC. - DEPRECIATION AND DEPLETION"/>
        <s v="NORDSTROM, INC. - DEPRECIATION/DEPLETION/AMORT"/>
        <s v="NORDSTROM, INC. - DIVIDENDS PER SHARE"/>
        <s v="NORDSTROM, INC. - DIVIDENDS PER SHARE - FISCAL"/>
        <s v="NORDSTROM, INC. - EARNINGS BEF INTEREST &amp; TAXES"/>
        <s v="NORDSTROM, INC. - EBIT &amp; DEPRECIATION"/>
        <s v="NORDSTROM, INC. - EARNINGS PER SHARE"/>
        <s v="NORDSTROM, INC. - FISCAL EPS-FULLY DILUTED-YR"/>
        <s v="NORDSTROM, INC. - ENTERPRISE VALUE"/>
        <s v="NORDSTROM, INC. - GROSS INCOME"/>
        <s v="NORDSTROM, INC. - INCOME TAXES"/>
        <s v="NORDSTROM, INC. - INCREASE/DECREASE IN CASH/SHOR"/>
        <s v="NORDSTROM, INC. - INTEREST EXPENSE ON DEBT"/>
        <s v="NORDSTROM, INC. - TOTAL INVENTORIES"/>
        <s v="NORDSTROM, INC. - LONG TERM DEBT"/>
        <s v="NORDSTROM, INC. - MARKET CAPITALIZATION"/>
        <s v="NORDSTROM, INC. - NET CASH FLOW - FINANCING"/>
        <s v="NORDSTROM, INC. - NET CASH FLOW - INVESTING"/>
        <s v="NORDSTROM, INC. - NET CASH FLOW-OPERATING ACTIVS"/>
        <s v="NORDSTROM, INC. - NET DEBT"/>
        <s v="NORDSTROM, INC. - NET INCOME - DILUTED"/>
        <s v="NORDSTROM, INC. - NET SALES OR REVENUES"/>
        <s v="NORDSTROM, INC. - NON-OPERATING INTEREST INCOME"/>
        <s v="NORDSTROM, INC. - OPERATING EXPENSES - TOTAL"/>
        <s v="NORDSTROM, INC. - OPERATING INCOME"/>
        <s v="NORDSTROM, INC. - PRETAX INCOME"/>
        <s v="NORDSTROM, INC. - PROPERTY, PLANT &amp; EQUIP - NET"/>
        <s v="NORDSTROM, INC. - RECEIVABLES(NET)"/>
        <s v="NORDSTROM, INC. - SELLING, GENERAL &amp; ADMINISTRAT"/>
        <s v="NORDSTROM, INC. - SHORT TERM DEBT &amp; CURRENT PORT"/>
        <s v="NORDSTROM, INC. - TOTAL ASSETS"/>
        <s v="NORDSTROM, INC. - TOTAL CAPITAL"/>
        <s v="NORDSTROM, INC. - TOTAL DEBT"/>
        <s v="NORDSTROM, INC. - TOTAL INTANGIBLE OT ASSETS-NET"/>
        <s v="NORDSTROM, INC. - TOTAL LIABILITIES"/>
        <s v="NORDSTROM, INC. - TOTAL LIABILITIES &amp; SHAREHOLDE"/>
        <s v="NORDSTROM, INC. - TOTAL SHAREHOLDERS EQUITY"/>
        <s v="NORDSTROM, INC. - WORKING CAPITAL"/>
        <s v="NORDSTROM - BK VAL PS 12M FWD"/>
        <s v="NORDSTROM - EV 12M FWD"/>
        <s v="NORDSTROM - NET INCOME 12M FWD"/>
        <s v="NORDSTROM - PRETAX PRF 12M FWD"/>
        <s v="NORDSTROM - ROE 12M FWD"/>
        <s v="NORDSTROM - SALES 12M FWD"/>
        <s v="NORDSTROM, INC. - DECREASE/INCREASE RECEIVABLES"/>
        <s v="NORDSTROM, INC. - DECREASE/INCR OTH ASTS/LIABILT"/>
        <s v="NORDSTROM, INC. - DECREASE/INCREASE INVENTORIES"/>
        <s v="NORDSTROM, INC. - DECREASE IN INVESTMENTS"/>
        <s v="TILLY'S CLASS A - MARKET VALUE"/>
        <s v="TILLY'S CLASS A - PER"/>
        <s v="TILLY'S CLASS A - 12MTH FORWARD EPS"/>
        <s v="TILLY'S CLASS A"/>
        <s v="TILLY'S CLASS A - 12MTH TRAILING EPS"/>
        <s v="TILLY'S CLASS A - DIV.PER SHR."/>
        <s v="TILLY'S CLASS A - EARNINGS PER SHR"/>
        <s v="TILLYS INC - ACCOUNTS PAYABLE"/>
        <s v="TILLYS INC - AMORTIZATION OF DEFERRED CHARG"/>
        <s v="TILLYS INC - BOOK VALUE-OUT SHARES-FISCAL"/>
        <s v="TILLYS INC - BOOK VALUE PER SHARE"/>
        <s v="TILLYS INC - CAPITAL EXPENDITURES"/>
        <s v="TILLYS INC - CASH"/>
        <s v="TILLYS INC - CASH - GENERIC"/>
        <s v="TILLYS INC - CASH &amp; SHORT TERM INVESTMENTS"/>
        <s v="TILLYS INC - CASH DIVIDENDS PAID - TOTAL"/>
        <s v="TILLYS INC - CASH FLOW PER SHARE"/>
        <s v="TILLYS INC - CASH FLOW PER SHARE - FIS YR"/>
        <s v="TILLYS INC - COMMON DIVIDENDS (CASH)"/>
        <s v="TILLYS INC - COMMON SHAREHOLDERS' EQUITY"/>
        <s v="TILLYS INC - COMMON STOCK"/>
        <s v="TILLYS INC - COST OF GOODS SOLD (EXCL DEP)"/>
        <s v="TILLYS INC - CURRENT ASSETS - TOTAL"/>
        <s v="TILLYS INC - CURRENT LIABILITIES-TOTAL"/>
        <s v="TILLYS INC - DEFERRED TAXES"/>
        <s v="TILLYS INC - DEPRECIATION AND DEPLETION"/>
        <s v="TILLYS INC - DEPRECIATION/DEPLETION/AMORT"/>
        <s v="TILLYS INC - DIVIDENDS PER SHARE"/>
        <s v="TILLYS INC - DIVIDENDS PER SHARE - FISCAL"/>
        <s v="TILLYS INC - EARNINGS BEF INTEREST &amp; TAXES"/>
        <s v="TILLYS INC - EBIT &amp; DEPRECIATION"/>
        <s v="TILLYS INC - EARNINGS PER SHARE"/>
        <s v="TILLYS INC - FISCAL EPS-FULLY DILUTED-YR"/>
        <s v="TILLYS INC - ENTERPRISE VALUE"/>
        <s v="TILLYS INC - GROSS INCOME"/>
        <s v="TILLYS INC - INCOME TAXES"/>
        <s v="TILLYS INC - INCREASE/DECREASE IN CASH/SHOR"/>
        <s v="TILLYS INC - INTEREST EXPENSE ON DEBT"/>
        <s v="TILLYS INC - TOTAL INVENTORIES"/>
        <s v="TILLYS INC - LONG TERM DEBT"/>
        <s v="TILLYS INC - MARKET CAPITALIZATION"/>
        <s v="TILLYS INC - NET CASH FLOW - FINANCING"/>
        <s v="TILLYS INC - NET CASH FLOW - INVESTING"/>
        <s v="TILLYS INC - NET CASH FLOW-OPERATING ACTIVS"/>
        <s v="TILLYS INC - NET DEBT"/>
        <s v="TILLYS INC - NET INCOME - DILUTED"/>
        <s v="TILLYS INC - NET SALES OR REVENUES"/>
        <s v="TILLYS INC - OPERATING EXPENSES - TOTAL"/>
        <s v="TILLYS INC - OPERATING INCOME"/>
        <s v="TILLYS INC - PRETAX INCOME"/>
        <s v="TILLYS INC - PROPERTY, PLANT &amp; EQUIP - NET"/>
        <s v="TILLYS INC - RECEIVABLES(NET)"/>
        <s v="TILLYS INC - SELLING, GENERAL &amp; ADMINISTRAT"/>
        <s v="TILLYS INC - SHORT TERM DEBT &amp; CURRENT PORT"/>
        <s v="TILLYS INC - TOTAL ASSETS"/>
        <s v="TILLYS INC - TOTAL CAPITAL"/>
        <s v="TILLYS INC - TOTAL DEBT"/>
        <s v="TILLYS INC - TOTAL INTANGIBLE OT ASSETS-NET"/>
        <s v="TILLYS INC - TOTAL LIABILITIES"/>
        <s v="TILLYS INC - TOTAL LIABILITIES &amp; SHAREHOLDE"/>
        <s v="TILLYS INC - TOTAL SHAREHOLDERS EQUITY"/>
        <s v="TILLYS INC - WORKING CAPITAL"/>
        <s v="TILLY'S CLASS A - BK VAL PS 12M FWD"/>
        <s v="TILLY'S CLASS A - EV 12M FWD"/>
        <s v="TILLY'S CLASS A - NET INCOME 12M FWD"/>
        <s v="TILLY'S CLASS A - PRETAX PRF 12M FWD"/>
        <s v="TILLY'S CLASS A - ROE 12M FWD"/>
        <s v="TILLY'S CLASS A - SALES 12M FWD"/>
        <s v="TILLYS INC - DECREASE/INCREASE RECEIVABLES"/>
        <s v="TILLYS INC - DECREASE/INCR OTH ASTS/LIABILT"/>
        <s v="TILLYS INC - DECREASE/INCREASE INVENTORIES"/>
        <s v="TILLYS INC - DECREASE IN INVESTMENTS"/>
      </sharedItems>
    </cacheField>
    <cacheField name="Company" numFmtId="0">
      <sharedItems count="23">
        <s v="URBAN "/>
        <s v="INDITEX "/>
        <s v="INDUSTRI "/>
        <s v="LEVI "/>
        <s v="AMER.EAG.OUTFITTERS "/>
        <e v="#VALUE!"/>
        <s v="AMERICAN "/>
        <s v="ABERCROMBIE "/>
        <s v="FAST "/>
        <s v="NIKE "/>
        <s v="ADIDAS "/>
        <s v="LULULEMON "/>
        <s v="HENNES "/>
        <s v="LVMH "/>
        <s v="HERMES "/>
        <s v="CHRISTIAN "/>
        <s v="PRADA "/>
        <s v="TJX "/>
        <s v="GAP "/>
        <s v="NORDSTROM "/>
        <s v="NORDSTROM, "/>
        <s v="TILLY'S "/>
        <s v="TILLYS "/>
      </sharedItems>
    </cacheField>
    <cacheField name="Value Type" numFmtId="0">
      <sharedItems/>
    </cacheField>
    <cacheField name="Code" numFmtId="0">
      <sharedItems/>
    </cacheField>
    <cacheField name="ISIN" numFmtId="0">
      <sharedItems/>
    </cacheField>
    <cacheField name="CURRENCY" numFmtId="0">
      <sharedItems/>
    </cacheField>
    <cacheField name="2019" numFmtId="0">
      <sharedItems containsMixedTypes="1" containsNumber="1" minValue="-9243217" maxValue="253299098"/>
    </cacheField>
    <cacheField name="2020" numFmtId="0">
      <sharedItems containsMixedTypes="1" containsNumber="1" minValue="-5489766" maxValue="325728946"/>
    </cacheField>
    <cacheField name="2021" numFmtId="0">
      <sharedItems containsMixedTypes="1" containsNumber="1" minValue="-18119872" maxValue="459205700"/>
    </cacheField>
    <cacheField name="2022" numFmtId="0">
      <sharedItems containsMixedTypes="1" containsNumber="1" minValue="-12723272" maxValue="367052320"/>
    </cacheField>
    <cacheField name="2023" numFmtId="0">
      <sharedItems containsMixedTypes="1" containsNumber="1" minValue="-10180531" maxValue="470863652.89999998"/>
    </cacheField>
    <cacheField name="2024" numFmtId="0">
      <sharedItems containsMixedTypes="1" containsNumber="1" minValue="-6518564" maxValue="373724266.60000002" count="511">
        <n v="3472.68"/>
        <n v="11.5"/>
        <n v="3.7709999999999999"/>
        <n v="10.286"/>
        <n v="6.7480000000000002"/>
        <n v="5.2789999999999999"/>
        <n v="7.1455000000000002"/>
        <n v="0.53600000000000003"/>
        <n v="-1.4810000000000001"/>
        <n v="-0.245"/>
        <n v="0.46"/>
        <n v="0.33"/>
        <n v="1.2297"/>
        <n v="3.4910000000000001"/>
        <n v="0"/>
        <n v="3.27"/>
        <n v="1.4058999999999999"/>
        <n v="0.44590000000000002"/>
        <s v="NA"/>
        <n v="30.61"/>
        <n v="3455546"/>
        <n v="352891.1"/>
        <n v="466499.8"/>
        <n v="14.37"/>
        <n v="5636102"/>
        <n v="176444.5"/>
        <n v="28.1"/>
        <n v="2.2610000000000001"/>
        <n v="3.9929999999999999"/>
        <n v="18.972000000000001"/>
        <n v="11.007"/>
        <n v="3.8490000000000002"/>
        <n v="3.7549999999999999"/>
        <n v="-0.71199999999999997"/>
        <n v="-6.9000000000000006E-2"/>
        <n v="2.02"/>
        <n v="1"/>
        <n v="7.74"/>
        <n v="2.0470000000000002"/>
        <n v="1.35"/>
        <n v="3.5270000000000001"/>
        <n v="2.0099999999999998"/>
        <n v="0.85"/>
        <n v="0.31969999999999998"/>
        <n v="5659132"/>
        <n v="429160"/>
        <n v="6.6580000000000004"/>
        <n v="1555427"/>
        <n v="7790479"/>
        <n v="12706920"/>
        <n v="4162631"/>
        <n v="3.1160000000000001"/>
        <n v="20726433"/>
        <n v="104510"/>
        <n v="27684163"/>
        <n v="17806810"/>
        <n v="9936280"/>
        <n v="-867215"/>
        <n v="2791764"/>
        <n v="3220925"/>
        <n v="1.712"/>
        <n v="7859412"/>
        <n v="11080336"/>
        <n v="1.9219999999999999"/>
        <n v="130957202"/>
        <n v="9061282"/>
        <n v="1639925"/>
        <n v="1608795"/>
        <n v="301302"/>
        <n v="3297640"/>
        <n v="4584008"/>
        <n v="137442412"/>
        <n v="-6084957"/>
        <n v="1900090"/>
        <n v="9636090"/>
        <n v="-6518564"/>
        <n v="5982670"/>
        <n v="39966370"/>
        <n v="422489"/>
        <n v="32289296"/>
        <n v="7677074"/>
        <n v="7558110"/>
        <n v="14936106"/>
        <n v="1691069"/>
        <n v="1604347"/>
        <n v="35089955"/>
        <n v="25343795"/>
        <n v="6188356"/>
        <n v="1578776"/>
        <n v="14330168"/>
        <n v="7870530"/>
        <n v="7.3"/>
        <n v="160003967.69999999"/>
        <n v="7037811.2599999998"/>
        <n v="9087740.1600000001"/>
        <n v="35.53"/>
        <n v="45276615.030000001"/>
        <n v="-379128"/>
        <n v="144536"/>
        <n v="217916"/>
        <n v="177345.42"/>
        <n v="28.3"/>
        <n v="3.8290000000000002"/>
        <n v="7.7789999999999999"/>
        <n v="0.88"/>
        <n v="0.33610000000000001"/>
        <n v="2079.62"/>
        <n v="55.4"/>
        <n v="1.393"/>
        <n v="7.0439999999999996"/>
        <n v="11.967000000000001"/>
        <n v="9.5180000000000007"/>
        <n v="3.8170000000000002"/>
        <n v="1.294"/>
        <n v="0.96899999999999997"/>
        <n v="0.10199999999999999"/>
        <n v="0.67"/>
        <n v="3.2744"/>
        <n v="1.2150000000000001"/>
        <n v="0.52"/>
        <n v="2.6970000000000001"/>
        <n v="0.36"/>
        <n v="1.1352"/>
        <n v="0.39810000000000001"/>
        <n v="6.04"/>
        <n v="8451000"/>
        <n v="553784.19999999995"/>
        <n v="657637.9"/>
        <n v="23.61"/>
        <n v="6563863"/>
        <n v="3820.14"/>
        <n v="15.9"/>
        <n v="1.877"/>
        <n v="9.4390000000000001"/>
        <n v="6.9660000000000002"/>
        <n v="4.7699999999999996"/>
        <n v="8.6308000000000007"/>
        <n v="0.61299999999999999"/>
        <n v="-1.333"/>
        <n v="-0.22600000000000001"/>
        <n v="0.5"/>
        <n v="1.7085999999999999"/>
        <n v="1.68"/>
        <n v="2.61"/>
        <n v="1.25"/>
        <n v="1.4901"/>
        <n v="0.5121"/>
        <n v="11.64"/>
        <n v="4167816"/>
        <n v="369229.5"/>
        <n v="495435.8"/>
        <n v="19.23"/>
        <n v="5502992"/>
        <n v="6918.6"/>
        <n v="16.8"/>
        <n v="10.53"/>
        <n v="7.774"/>
        <n v="8.4830000000000005"/>
        <n v="6.867"/>
        <n v="9.6622000000000003"/>
        <n v="1.252"/>
        <n v="-1.6479999999999999"/>
        <n v="-0.22"/>
        <n v="0.6"/>
        <n v="0.44"/>
        <n v="3.2926000000000002"/>
        <n v="8.6509999999999998"/>
        <n v="8.0399999999999991"/>
        <n v="1.9351"/>
        <n v="0.68979999999999997"/>
        <n v="41.14"/>
        <n v="6813828"/>
        <n v="562262.19999999995"/>
        <n v="755640.6"/>
        <n v="34.630000000000003"/>
        <n v="4997289"/>
        <n v="99559.87"/>
        <n v="40.200000000000003"/>
        <n v="8.3770000000000007"/>
        <n v="2.6539999999999999"/>
        <n v="25.251000000000001"/>
        <n v="18.483000000000001"/>
        <n v="1.9259999999999999"/>
        <n v="4.0339999999999998"/>
        <n v="-1.5049999999999999"/>
        <n v="-8.2000000000000003E-2"/>
        <n v="3.04"/>
        <n v="1.62"/>
        <n v="6.1609999999999996"/>
        <n v="8.1370000000000005"/>
        <n v="2.39"/>
        <n v="0.86499999999999999"/>
        <n v="8.51"/>
        <n v="0.61"/>
        <n v="0.29980000000000001"/>
        <n v="2.8170000000000002"/>
        <n v="50.78"/>
        <n v="94104995.219999999"/>
        <n v="2580593.91"/>
        <n v="3911033.04"/>
        <n v="0.12"/>
        <n v="23462241.600000001"/>
        <n v="97198.31"/>
        <n v="21.7"/>
        <n v="3.2029999999999998"/>
        <n v="3.96"/>
        <n v="21.488"/>
        <n v="18.681000000000001"/>
        <n v="3.5093000000000001"/>
        <n v="2.4"/>
        <n v="0.28299999999999997"/>
        <n v="1.4E-2"/>
        <n v="1.19"/>
        <n v="1.2"/>
        <n v="8.5451999999999995"/>
        <n v="3.734"/>
        <n v="1.48"/>
        <n v="1.8839999999999999"/>
        <n v="3.73"/>
        <n v="1.1276999999999999"/>
        <n v="0.37490000000000001"/>
        <n v="2851000"/>
        <n v="48000"/>
        <n v="9.6010000000000009"/>
        <n v="812000"/>
        <n v="9860000"/>
        <n v="11582000"/>
        <n v="2169000"/>
        <n v="4.3879999999999999"/>
        <n v="14430000"/>
        <n v="3000"/>
        <n v="27631000"/>
        <n v="25382000"/>
        <n v="10593000"/>
        <n v="-1893000"/>
        <n v="796000"/>
        <n v="844000"/>
        <n v="1.45"/>
        <n v="6969000"/>
        <n v="7813000"/>
        <n v="3.726"/>
        <n v="140187150"/>
        <n v="22887000"/>
        <n v="1000000"/>
        <n v="2419000"/>
        <n v="269000"/>
        <n v="7519000"/>
        <n v="7903000"/>
        <n v="-5888000"/>
        <n v="-894000"/>
        <n v="7429000"/>
        <n v="-2673000"/>
        <n v="5700000"/>
        <n v="51362000"/>
        <n v="430000"/>
        <n v="44672000"/>
        <n v="6690000"/>
        <n v="6700000"/>
        <n v="7718000"/>
        <n v="4427000"/>
        <n v="16197000"/>
        <n v="1006000"/>
        <n v="33599000"/>
        <n v="22333000"/>
        <n v="8909000"/>
        <n v="499000"/>
        <n v="19169000"/>
        <n v="14789000"/>
        <n v="9.4700000000000006"/>
        <n v="127317400"/>
        <n v="4737648"/>
        <n v="5790645"/>
        <n v="34.159999999999997"/>
        <n v="49429840"/>
        <n v="-329000"/>
        <n v="-260000"/>
        <n v="908000"/>
        <n v="6488000"/>
        <n v="44287.99"/>
        <n v="164.6"/>
        <n v="6.6379999999999999"/>
        <n v="2.7109999999999999"/>
        <n v="26.239000000000001"/>
        <n v="15.151999999999999"/>
        <n v="3.827"/>
        <n v="1.7829999999999999"/>
        <n v="0.66100000000000003"/>
        <n v="4.4999999999999998E-2"/>
        <n v="2.97"/>
        <n v="6.8719999999999999"/>
        <n v="2.3210000000000002"/>
        <n v="0.78"/>
        <n v="1.1220000000000001"/>
        <n v="1.49"/>
        <n v="1.123"/>
        <n v="0.37759999999999999"/>
        <n v="35.81"/>
        <n v="47102266.630000003"/>
        <n v="1194063.54"/>
        <n v="1627157.26"/>
        <n v="21.85"/>
        <n v="27252548.18"/>
        <n v="31791.88"/>
        <n v="16"/>
        <n v="14.504"/>
        <n v="5.3680000000000003"/>
        <n v="12.441000000000001"/>
        <n v="10.507"/>
        <n v="4.3339999999999996"/>
        <n v="2.847"/>
        <n v="-0.95499999999999996"/>
        <n v="-8.5000000000000006E-2"/>
        <n v="0.87"/>
        <n v="6.0620000000000003"/>
        <n v="13.461"/>
        <n v="16.88"/>
        <n v="1.8355999999999999"/>
        <n v="0.51780000000000004"/>
        <n v="44.57"/>
        <n v="32934940"/>
        <n v="1790713"/>
        <n v="2553139"/>
        <n v="35.67"/>
        <n v="10869840"/>
        <n v="24350.720000000001"/>
        <n v="25.5"/>
        <n v="0.90400000000000003"/>
        <n v="5.2569999999999997"/>
        <n v="15.430999999999999"/>
        <n v="7.5149999999999997"/>
        <n v="6.4050000000000002"/>
        <n v="1.3480000000000001"/>
        <n v="-0.161"/>
        <n v="-2.4E-2"/>
        <n v="1.1599999999999999"/>
        <n v="5.6420000000000003"/>
        <n v="0.74"/>
        <n v="0.64"/>
        <n v="4.2549999999999999"/>
        <n v="1.22"/>
        <n v="0.42970000000000003"/>
        <n v="3.12"/>
        <n v="28226435.719999999"/>
        <n v="1462411.11"/>
        <n v="1942155.27"/>
        <n v="3.14"/>
        <n v="23958969.370000001"/>
        <n v="331358.59000000003"/>
        <n v="21.3"/>
        <n v="35.183"/>
        <n v="5.31"/>
        <n v="13.879"/>
        <n v="11.045"/>
        <n v="5.9772999999999996"/>
        <n v="3.5710000000000002"/>
        <n v="0.161"/>
        <n v="1.32"/>
        <n v="0.77"/>
        <n v="3.9860000000000002"/>
        <n v="33.241999999999997"/>
        <n v="14.45"/>
        <n v="2.4319999999999999"/>
        <n v="31.07"/>
        <n v="0.95009999999999994"/>
        <n v="0.314"/>
        <n v="166.94"/>
        <n v="373724266.60000002"/>
        <n v="17733946.82"/>
        <n v="25142005.420000002"/>
        <n v="23.95"/>
        <n v="101284012"/>
        <n v="224065.08"/>
        <n v="44.9"/>
        <n v="52.308"/>
        <n v="2.4649999999999999"/>
        <n v="29.373000000000001"/>
        <n v="26.33"/>
        <n v="2.2673000000000001"/>
        <n v="11.991"/>
        <n v="-1.758"/>
        <n v="-6.6000000000000003E-2"/>
        <n v="2.85"/>
        <n v="1.66"/>
        <n v="10.393599999999999"/>
        <n v="47.509"/>
        <n v="1.0269999999999999"/>
        <n v="47.29"/>
        <n v="0.89659999999999995"/>
        <n v="0.33339999999999997"/>
        <n v="204.64"/>
        <n v="216978589.19999999"/>
        <n v="5478297.8600000003"/>
        <n v="7587495.3300000001"/>
        <n v="30.39"/>
        <n v="17906868.329999998"/>
        <n v="112487.41"/>
        <n v="17.399999999999999"/>
        <n v="35.840000000000003"/>
        <n v="1.2179"/>
        <n v="0.37780000000000002"/>
        <n v="16368.63"/>
        <n v="20.2"/>
        <n v="0.38200000000000001"/>
        <n v="5.9779999999999998"/>
        <n v="12.289"/>
        <n v="8.0139999999999993"/>
        <n v="6.6619999999999999"/>
        <n v="2.9220000000000002"/>
        <n v="-0.3"/>
        <n v="-3.7999999999999999E-2"/>
        <n v="1.67"/>
        <n v="1.44"/>
        <n v="3.1949999999999998"/>
        <n v="0.33100000000000002"/>
        <n v="0.15"/>
        <n v="3.2149999999999999"/>
        <n v="0.93400000000000005"/>
        <n v="0.39800000000000002"/>
        <n v="2"/>
        <n v="18217490.199999999"/>
        <n v="979367.58"/>
        <n v="1414071.48"/>
        <n v="22.36"/>
        <n v="6300436.3499999996"/>
        <n v="132243.1"/>
        <n v="4.4169999999999998"/>
        <n v="3.7490000000000001"/>
        <n v="19.765000000000001"/>
        <n v="16.914999999999999"/>
        <n v="3.0242"/>
        <n v="2.2280000000000002"/>
        <n v="0.83099999999999996"/>
        <n v="5.1999999999999998E-2"/>
        <n v="0.9"/>
        <n v="14.585599999999999"/>
        <n v="4.0410000000000004"/>
        <n v="1.5"/>
        <n v="4.1399999999999997"/>
        <n v="1.0541"/>
        <n v="0.28660000000000002"/>
        <n v="122606900"/>
        <n v="4993945"/>
        <n v="6689105"/>
        <n v="59.27"/>
        <n v="58131710"/>
        <n v="7586.55"/>
        <n v="10"/>
        <n v="1.9730000000000001"/>
        <n v="9.8559999999999999"/>
        <n v="6.96"/>
        <n v="4.6619999999999999"/>
        <n v="9.5052000000000003"/>
        <n v="0.47599999999999998"/>
        <n v="1.2649999999999999"/>
        <n v="0.24"/>
        <n v="0.48"/>
        <n v="0.34"/>
        <n v="2.2698"/>
        <n v="1.6870000000000001"/>
        <n v="3.0190000000000001"/>
        <n v="1.9421999999999999"/>
        <n v="0.64670000000000005"/>
        <n v="8.8800000000000008"/>
        <n v="8139305"/>
        <n v="751883.1"/>
        <n v="1037652"/>
        <n v="24.85"/>
        <n v="15125630"/>
        <n v="3704.6"/>
        <n v="13"/>
        <n v="1.9339999999999999"/>
        <n v="8.5749999999999993"/>
        <n v="11.145"/>
        <n v="5.1779999999999999"/>
        <n v="10.996600000000001"/>
        <n v="0.39700000000000002"/>
        <n v="2.0990000000000002"/>
        <n v="0.38700000000000001"/>
        <n v="0.55000000000000004"/>
        <n v="0.39"/>
        <n v="3.1993"/>
        <n v="1.978"/>
        <n v="0.76"/>
        <n v="3.407"/>
        <n v="1.73"/>
        <n v="1.5609999999999999"/>
        <n v="0.66049999999999998"/>
        <n v="7.05"/>
        <n v="6218465"/>
        <n v="323790.5"/>
        <n v="428009.8"/>
        <n v="27.22"/>
        <n v="14957230"/>
        <n v="116.51"/>
        <n v="-0.74299999999999999"/>
        <n v="-15.39"/>
        <n v="-2.04"/>
        <n v="-3.7229999999999999"/>
        <n v="-12.0098"/>
        <n v="9.7000000000000003E-2"/>
        <n v="3.8919999999999999"/>
        <n v="-0.71099999999999997"/>
        <n v="1.4376"/>
        <n v="-0.93200000000000005"/>
        <n v="1.3906000000000001"/>
        <n v="0.5464"/>
        <n v="3.55"/>
        <n v="86356.56"/>
        <n v="-22372.91"/>
        <n v="-22782.5"/>
        <n v="604524.1999999999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stantin Döbert" refreshedDate="45739.656954745369" createdVersion="8" refreshedVersion="8" minRefreshableVersion="3" recordCount="22" xr:uid="{E2908A43-C80F-3549-9551-15435A3008D2}">
  <cacheSource type="worksheet">
    <worksheetSource name="Table7"/>
  </cacheSource>
  <cacheFields count="3">
    <cacheField name="Year" numFmtId="0">
      <sharedItems count="6">
        <s v="FY2020"/>
        <s v="FY2021"/>
        <s v="FY2022"/>
        <s v="FY2023"/>
        <s v="FY2024"/>
        <s v="FY2025"/>
      </sharedItems>
    </cacheField>
    <cacheField name="Quarter" numFmtId="0">
      <sharedItems count="4">
        <s v="Q3"/>
        <s v="Q4"/>
        <s v="Q1"/>
        <s v="Q2"/>
      </sharedItems>
    </cacheField>
    <cacheField name="Subscribers" numFmtId="0">
      <sharedItems containsSemiMixedTypes="0" containsString="0" containsNumber="1" containsInteger="1" minValue="10000" maxValue="29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3">
  <r>
    <x v="0"/>
    <x v="0"/>
    <s v="MARKET VALUE"/>
    <s v="@URBN(MV)~U$"/>
    <s v="US9170471026"/>
    <s v="U$"/>
    <n v="2335.73"/>
    <n v="2141.52"/>
    <n v="3198.79"/>
    <n v="1994.66"/>
    <n v="2999.4"/>
    <x v="0"/>
  </r>
  <r>
    <x v="1"/>
    <x v="0"/>
    <s v="PER"/>
    <s v="@URBN(PE)"/>
    <s v="US9170471026"/>
    <s v="U$"/>
    <n v="9.9"/>
    <s v="NA"/>
    <n v="11.2"/>
    <n v="9.5"/>
    <n v="13.4"/>
    <x v="1"/>
  </r>
  <r>
    <x v="2"/>
    <x v="0"/>
    <s v="12MTH FORWARD EPS"/>
    <s v="@URBN(EPS1FD12)~U$"/>
    <s v="US9170471026"/>
    <s v="U$"/>
    <n v="2.552"/>
    <n v="1.08"/>
    <n v="3.19"/>
    <n v="2.0470000000000002"/>
    <n v="3.29"/>
    <x v="2"/>
  </r>
  <r>
    <x v="3"/>
    <x v="0"/>
    <e v="#VALUE!"/>
    <s v="529E(@URBN)"/>
    <s v="US9170471026"/>
    <s v="U$"/>
    <n v="12.601000000000001"/>
    <n v="4.6609999999999996"/>
    <n v="9.7729999999999997"/>
    <n v="9.6270000000000007"/>
    <n v="9.8330000000000002"/>
    <x v="3"/>
  </r>
  <r>
    <x v="3"/>
    <x v="0"/>
    <e v="#VALUE!"/>
    <s v="384E(@URBN)"/>
    <s v="US9170471026"/>
    <s v="U$"/>
    <n v="5.5279999999999996"/>
    <n v="10.750999999999999"/>
    <n v="6.5739999999999998"/>
    <n v="6.2590000000000003"/>
    <n v="6.2519999999999998"/>
    <x v="4"/>
  </r>
  <r>
    <x v="3"/>
    <x v="0"/>
    <e v="#VALUE!"/>
    <s v="380E(@URBN)"/>
    <s v="US9170471026"/>
    <s v="U$"/>
    <n v="4.0359999999999996"/>
    <n v="6.1"/>
    <n v="5.1159999999999997"/>
    <n v="4.2409999999999997"/>
    <n v="4.8"/>
    <x v="5"/>
  </r>
  <r>
    <x v="3"/>
    <x v="0"/>
    <e v="#VALUE!"/>
    <s v="157E(@URBN)"/>
    <s v="US9170471026"/>
    <s v="U$"/>
    <n v="8.3473000000000006"/>
    <n v="1.6437999999999999"/>
    <n v="6.5702999999999996"/>
    <n v="0.18479999999999999"/>
    <n v="5.5881999999999996"/>
    <x v="6"/>
  </r>
  <r>
    <x v="3"/>
    <x v="0"/>
    <e v="#VALUE!"/>
    <s v="388E(@URBN)"/>
    <s v="US9170471026"/>
    <s v="U$"/>
    <n v="0.46300000000000002"/>
    <n v="0.41"/>
    <n v="0.59099999999999997"/>
    <n v="0.33500000000000002"/>
    <n v="0.48399999999999999"/>
    <x v="7"/>
  </r>
  <r>
    <x v="3"/>
    <x v="0"/>
    <e v="#VALUE!"/>
    <s v="334E(@URBN)"/>
    <s v="US9170471026"/>
    <s v="U$"/>
    <n v="-1.583"/>
    <n v="-1.7549999999999999"/>
    <n v="-1.4039999999999999"/>
    <n v="-1.292"/>
    <n v="-1.4510000000000001"/>
    <x v="8"/>
  </r>
  <r>
    <x v="3"/>
    <x v="0"/>
    <e v="#VALUE!"/>
    <s v="338E(@URBN)"/>
    <s v="US9170471026"/>
    <s v="U$"/>
    <n v="-0.46"/>
    <n v="-0.19500000000000001"/>
    <n v="-0.21"/>
    <n v="-0.26"/>
    <n v="-0.26300000000000001"/>
    <x v="9"/>
  </r>
  <r>
    <x v="3"/>
    <x v="0"/>
    <e v="#VALUE!"/>
    <s v="251E(@URBN)"/>
    <s v="US9170471026"/>
    <s v="U$"/>
    <n v="0.47"/>
    <n v="0.96"/>
    <n v="0.47"/>
    <n v="0.61"/>
    <n v="0.54"/>
    <x v="10"/>
  </r>
  <r>
    <x v="3"/>
    <x v="0"/>
    <e v="#VALUE!"/>
    <s v="250E(@URBN)"/>
    <s v="US9170471026"/>
    <s v="U$"/>
    <n v="0.28999999999999998"/>
    <n v="0.56999999999999995"/>
    <n v="0.32"/>
    <n v="0.37"/>
    <n v="0.36"/>
    <x v="11"/>
  </r>
  <r>
    <x v="3"/>
    <x v="0"/>
    <e v="#VALUE!"/>
    <s v="553E(@URBN)"/>
    <s v="US9170471026"/>
    <s v="U$"/>
    <n v="1.3872"/>
    <n v="1.3372999999999999"/>
    <n v="1.5577000000000001"/>
    <n v="0.9859"/>
    <n v="1.2567999999999999"/>
    <x v="12"/>
  </r>
  <r>
    <x v="4"/>
    <x v="0"/>
    <s v="12MTH TRAILING EPS"/>
    <s v="@URBN(EPS1TR12)~U$"/>
    <s v="US9170471026"/>
    <s v="U$"/>
    <n v="2.5329999999999999"/>
    <n v="0.55300000000000005"/>
    <n v="2.2229999999999999"/>
    <n v="2.2170000000000001"/>
    <n v="2.68"/>
    <x v="13"/>
  </r>
  <r>
    <x v="5"/>
    <x v="0"/>
    <s v="DIV.PER SHR."/>
    <s v="@URBN(DPS)~U$"/>
    <s v="US9170471026"/>
    <s v="U$"/>
    <n v="0"/>
    <n v="0"/>
    <n v="0"/>
    <n v="0"/>
    <n v="0"/>
    <x v="14"/>
  </r>
  <r>
    <x v="3"/>
    <x v="0"/>
    <e v="#VALUE!"/>
    <s v="354E(@URBN)"/>
    <s v="US9170471026"/>
    <s v="U$"/>
    <n v="0"/>
    <n v="0"/>
    <n v="0"/>
    <n v="0"/>
    <n v="0"/>
    <x v="14"/>
  </r>
  <r>
    <x v="2"/>
    <x v="0"/>
    <s v="12MTH FORWARD EPS"/>
    <s v="@URBN(EPS1FD12)~U$"/>
    <s v="US9170471026"/>
    <s v="U$"/>
    <n v="2.552"/>
    <n v="1.08"/>
    <n v="3.19"/>
    <n v="2.0470000000000002"/>
    <n v="3.29"/>
    <x v="2"/>
  </r>
  <r>
    <x v="1"/>
    <x v="0"/>
    <s v="PER"/>
    <s v="@URBN(PE)"/>
    <s v="US9170471026"/>
    <s v="U$"/>
    <n v="9.9"/>
    <s v="NA"/>
    <n v="11.2"/>
    <n v="9.5"/>
    <n v="13.4"/>
    <x v="1"/>
  </r>
  <r>
    <x v="0"/>
    <x v="0"/>
    <s v="MARKET VALUE"/>
    <s v="@URBN(MV)~U$"/>
    <s v="US9170471026"/>
    <s v="U$"/>
    <n v="2335.73"/>
    <n v="2141.52"/>
    <n v="3198.79"/>
    <n v="1994.66"/>
    <n v="2999.4"/>
    <x v="0"/>
  </r>
  <r>
    <x v="6"/>
    <x v="0"/>
    <s v="EARNINGS PER SHR"/>
    <s v="@URBN(EPS)~U$"/>
    <s v="US9170471026"/>
    <s v="U$"/>
    <n v="2.42"/>
    <n v="0"/>
    <n v="2.89"/>
    <n v="2.27"/>
    <n v="2.41"/>
    <x v="15"/>
  </r>
  <r>
    <x v="3"/>
    <x v="0"/>
    <e v="#VALUE!"/>
    <s v="897E(@URBN)"/>
    <s v="US9170471026"/>
    <s v="NA"/>
    <n v="1.3179000000000001"/>
    <n v="1.4803999999999999"/>
    <n v="1.3974"/>
    <n v="1.4027000000000001"/>
    <n v="1.3879999999999999"/>
    <x v="16"/>
  </r>
  <r>
    <x v="3"/>
    <x v="0"/>
    <e v="#VALUE!"/>
    <s v="400E(@URBN)"/>
    <s v="US9170471026"/>
    <s v="NA"/>
    <n v="0.4194"/>
    <n v="0.4894"/>
    <n v="0.45190000000000002"/>
    <n v="0.46039999999999998"/>
    <n v="0.4516"/>
    <x v="17"/>
  </r>
  <r>
    <x v="7"/>
    <x v="0"/>
    <s v="ACCOUNTS PAYABLE"/>
    <s v="@URBN(WC03040)~U$"/>
    <s v="US9170471026"/>
    <s v="U$"/>
    <n v="167871"/>
    <n v="237386"/>
    <n v="304246"/>
    <n v="257620"/>
    <n v="253342"/>
    <x v="18"/>
  </r>
  <r>
    <x v="8"/>
    <x v="0"/>
    <s v="AMORT &amp; IMPAIR OF GOODWILL"/>
    <s v="@URBN(WC18224)~U$"/>
    <s v="US9170471026"/>
    <s v="U$"/>
    <n v="13911"/>
    <n v="0"/>
    <n v="0"/>
    <s v="NA"/>
    <s v="NA"/>
    <x v="18"/>
  </r>
  <r>
    <x v="9"/>
    <x v="0"/>
    <s v="AMORTIZATION OF DEFERRED CHARG"/>
    <s v="@URBN(WC01150)~U$"/>
    <s v="US9170471026"/>
    <s v="U$"/>
    <n v="0"/>
    <n v="0"/>
    <n v="0"/>
    <n v="0"/>
    <n v="0"/>
    <x v="18"/>
  </r>
  <r>
    <x v="10"/>
    <x v="0"/>
    <s v="BOOK VALUE-OUT SHARES-FISCAL"/>
    <s v="@URBN(WC05491)~U$"/>
    <s v="US9170471026"/>
    <s v="U$"/>
    <n v="14.853999999999999"/>
    <n v="15.103"/>
    <n v="18.103999999999999"/>
    <n v="19.446999999999999"/>
    <n v="22.766999999999999"/>
    <x v="18"/>
  </r>
  <r>
    <x v="11"/>
    <x v="0"/>
    <s v="BOOK VALUE PER SHARE"/>
    <s v="@URBN(WC05476)~U$"/>
    <s v="US9170471026"/>
    <s v="U$"/>
    <n v="14.853999999999999"/>
    <n v="15.103"/>
    <n v="18.103999999999999"/>
    <n v="19.446999999999999"/>
    <n v="22.766999999999999"/>
    <x v="18"/>
  </r>
  <r>
    <x v="12"/>
    <x v="0"/>
    <s v="CAPITAL EXPENDITURES"/>
    <s v="@URBN(WC04601)~U$"/>
    <s v="US9170471026"/>
    <s v="U$"/>
    <n v="217433"/>
    <n v="159242"/>
    <n v="262429"/>
    <n v="199513"/>
    <n v="199625"/>
    <x v="18"/>
  </r>
  <r>
    <x v="13"/>
    <x v="0"/>
    <s v="CASH"/>
    <s v="@URBN(WC02003)~U$"/>
    <s v="US9170471026"/>
    <s v="U$"/>
    <n v="221839"/>
    <n v="395635"/>
    <n v="206575"/>
    <n v="201260"/>
    <n v="178321"/>
    <x v="18"/>
  </r>
  <r>
    <x v="14"/>
    <x v="0"/>
    <s v="CASH - GENERIC"/>
    <s v="@URBN(WC02005)~U$"/>
    <s v="US9170471026"/>
    <s v="U$"/>
    <n v="433292"/>
    <n v="570330"/>
    <n v="445995"/>
    <n v="382638"/>
    <n v="465065"/>
    <x v="18"/>
  </r>
  <r>
    <x v="15"/>
    <x v="0"/>
    <s v="CASH &amp; SHORT TERM INVESTMENTS"/>
    <s v="@URBN(WC02001)~U$"/>
    <s v="US9170471026"/>
    <s v="U$"/>
    <n v="433292"/>
    <n v="570330"/>
    <n v="445995"/>
    <n v="382638"/>
    <n v="465065"/>
    <x v="18"/>
  </r>
  <r>
    <x v="16"/>
    <x v="0"/>
    <s v="CASH DIVIDENDS PAID - TOTAL"/>
    <s v="@URBN(WC04551)~U$"/>
    <s v="US9170471026"/>
    <s v="U$"/>
    <n v="0"/>
    <n v="0"/>
    <n v="0"/>
    <n v="0"/>
    <n v="0"/>
    <x v="18"/>
  </r>
  <r>
    <x v="17"/>
    <x v="0"/>
    <s v="CASH FLOW PER SHARE"/>
    <s v="@URBN(WC05501)~U$"/>
    <s v="US9170471026"/>
    <s v="U$"/>
    <n v="5.2069999999999999"/>
    <n v="3.2930000000000001"/>
    <n v="6.37"/>
    <n v="5.2069999999999999"/>
    <n v="7.2320000000000002"/>
    <x v="18"/>
  </r>
  <r>
    <x v="18"/>
    <x v="0"/>
    <s v="CASH FLOW PER SHARE - FIS YR"/>
    <s v="@URBN(WC05502)~U$"/>
    <s v="US9170471026"/>
    <s v="U$"/>
    <n v="5.2069999999999999"/>
    <n v="3.2930000000000001"/>
    <n v="6.37"/>
    <n v="5.2069999999999999"/>
    <n v="7.2320000000000002"/>
    <x v="18"/>
  </r>
  <r>
    <x v="19"/>
    <x v="0"/>
    <s v="COMMON DIVIDENDS (CASH)"/>
    <s v="@URBN(WC05376)~U$"/>
    <s v="US9170471026"/>
    <s v="U$"/>
    <n v="0"/>
    <n v="0"/>
    <n v="0"/>
    <n v="0"/>
    <n v="0"/>
    <x v="18"/>
  </r>
  <r>
    <x v="20"/>
    <x v="0"/>
    <s v="COMMON SHAREHOLDERS' EQUITY"/>
    <s v="@URBN(WC03501)~U$"/>
    <s v="US9170471026"/>
    <s v="U$"/>
    <n v="1455355"/>
    <n v="1477358"/>
    <n v="1745740"/>
    <n v="1792683"/>
    <n v="2112540"/>
    <x v="18"/>
  </r>
  <r>
    <x v="21"/>
    <x v="0"/>
    <s v="COMMON STOCK"/>
    <s v="@URBN(WC03480)~U$"/>
    <s v="US9170471026"/>
    <s v="U$"/>
    <n v="10"/>
    <n v="10"/>
    <n v="10"/>
    <n v="9"/>
    <n v="9"/>
    <x v="18"/>
  </r>
  <r>
    <x v="22"/>
    <x v="0"/>
    <s v="COST OF GOODS SOLD (EXCL DEP)"/>
    <s v="@URBN(WC01051)~U$"/>
    <s v="US9170471026"/>
    <s v="U$"/>
    <n v="2617096"/>
    <n v="2468576"/>
    <n v="2949141"/>
    <n v="3259272"/>
    <n v="3319133"/>
    <x v="18"/>
  </r>
  <r>
    <x v="23"/>
    <x v="0"/>
    <s v="CURRENT ASSETS - TOTAL"/>
    <s v="@URBN(WC02201)~U$"/>
    <s v="US9170471026"/>
    <s v="U$"/>
    <n v="1053396"/>
    <n v="1223332"/>
    <n v="1285747"/>
    <n v="1237719"/>
    <n v="1282503"/>
    <x v="18"/>
  </r>
  <r>
    <x v="24"/>
    <x v="0"/>
    <s v="CURRENT LIABILITIES-TOTAL"/>
    <s v="@URBN(WC03101)~U$"/>
    <s v="US9170471026"/>
    <s v="U$"/>
    <n v="638770"/>
    <n v="906132"/>
    <n v="981473"/>
    <n v="890374"/>
    <n v="994205"/>
    <x v="18"/>
  </r>
  <r>
    <x v="25"/>
    <x v="0"/>
    <s v="DEFERRED TAXES"/>
    <s v="@URBN(WC03263)~U$"/>
    <s v="US9170471026"/>
    <s v="U$"/>
    <n v="-104578"/>
    <n v="-117167"/>
    <n v="-136703"/>
    <n v="-195178"/>
    <n v="-307617"/>
    <x v="18"/>
  </r>
  <r>
    <x v="26"/>
    <x v="0"/>
    <s v="DEPRECIATION AND DEPLETION"/>
    <s v="@URBN(WC04049)~U$"/>
    <s v="US9170471026"/>
    <s v="U$"/>
    <n v="112256"/>
    <n v="103771"/>
    <n v="105672"/>
    <n v="102339"/>
    <n v="102487"/>
    <x v="18"/>
  </r>
  <r>
    <x v="27"/>
    <x v="0"/>
    <s v="DEPRECIATION/DEPLETION/AMORT"/>
    <s v="@URBN(WC01151)~U$"/>
    <s v="US9170471026"/>
    <s v="U$"/>
    <n v="112256"/>
    <n v="103771"/>
    <n v="105672"/>
    <n v="102339"/>
    <n v="106825"/>
    <x v="18"/>
  </r>
  <r>
    <x v="28"/>
    <x v="0"/>
    <s v="DIVIDENDS PER SHARE"/>
    <s v="@URBN(WC05101)~U$"/>
    <s v="US9170471026"/>
    <s v="U$"/>
    <n v="0"/>
    <n v="0"/>
    <n v="0"/>
    <n v="0"/>
    <n v="0"/>
    <x v="18"/>
  </r>
  <r>
    <x v="29"/>
    <x v="0"/>
    <s v="DIVIDENDS PER SHARE - FISCAL"/>
    <s v="@URBN(WC05110)~U$"/>
    <s v="US9170471026"/>
    <s v="U$"/>
    <n v="0"/>
    <n v="0"/>
    <n v="0"/>
    <n v="0"/>
    <n v="0"/>
    <x v="18"/>
  </r>
  <r>
    <x v="30"/>
    <x v="0"/>
    <s v="EARNINGS BEF INTEREST &amp; TAXES"/>
    <s v="@URBN(WC18191)~U$"/>
    <s v="US9170471026"/>
    <s v="U$"/>
    <n v="239720"/>
    <n v="6918"/>
    <n v="405735"/>
    <n v="222594"/>
    <n v="389269"/>
    <x v="18"/>
  </r>
  <r>
    <x v="31"/>
    <x v="0"/>
    <s v="EBIT &amp; DEPRECIATION"/>
    <s v="@URBN(WC18198)~U$"/>
    <s v="US9170471026"/>
    <s v="U$"/>
    <n v="351976"/>
    <n v="110689"/>
    <n v="511407"/>
    <n v="324933"/>
    <n v="496094"/>
    <x v="18"/>
  </r>
  <r>
    <x v="32"/>
    <x v="0"/>
    <s v="EARNINGS PER SHARE"/>
    <s v="@URBN(WC05201)~U$"/>
    <s v="US9170471026"/>
    <s v="U$"/>
    <n v="1.671"/>
    <n v="1.2999999999999999E-2"/>
    <n v="3.129"/>
    <n v="1.696"/>
    <n v="3.05"/>
    <x v="18"/>
  </r>
  <r>
    <x v="33"/>
    <x v="0"/>
    <s v="FISCAL EPS-FULLY DILUTED-YR"/>
    <s v="@URBN(WC10030)~U$"/>
    <s v="US9170471026"/>
    <s v="U$"/>
    <n v="1.671"/>
    <n v="1.2999999999999999E-2"/>
    <n v="3.129"/>
    <n v="1.696"/>
    <n v="3.05"/>
    <x v="18"/>
  </r>
  <r>
    <x v="34"/>
    <x v="0"/>
    <s v="ENTERPRISE VALUE"/>
    <s v="@URBN(WC18100)~U$"/>
    <s v="US9170471026"/>
    <s v="U$"/>
    <n v="2074914"/>
    <n v="2112762"/>
    <n v="2323505"/>
    <n v="2154625"/>
    <n v="3074427"/>
    <x v="18"/>
  </r>
  <r>
    <x v="35"/>
    <x v="0"/>
    <s v="GROSS INCOME"/>
    <s v="@URBN(WC01100)~U$"/>
    <s v="US9170471026"/>
    <s v="U$"/>
    <n v="1254437"/>
    <n v="877402"/>
    <n v="1493950"/>
    <n v="1433633"/>
    <n v="1727279"/>
    <x v="18"/>
  </r>
  <r>
    <x v="36"/>
    <x v="0"/>
    <s v="IMPAIRMENT OF GOODWILL"/>
    <s v="@URBN(WC18225)~U$"/>
    <s v="US9170471026"/>
    <s v="U$"/>
    <n v="13911"/>
    <n v="0"/>
    <n v="0"/>
    <s v="NA"/>
    <s v="NA"/>
    <x v="18"/>
  </r>
  <r>
    <x v="37"/>
    <x v="0"/>
    <s v="INCOME TAXES"/>
    <s v="@URBN(WC01451)~U$"/>
    <s v="US9170471026"/>
    <s v="U$"/>
    <n v="71624"/>
    <n v="2277"/>
    <n v="94015"/>
    <n v="61580"/>
    <n v="93933"/>
    <x v="18"/>
  </r>
  <r>
    <x v="38"/>
    <x v="0"/>
    <s v="INCREASE/DECREASE IN CASH/SHOR"/>
    <s v="@URBN(WC04851)~U$"/>
    <s v="US9170471026"/>
    <s v="U$"/>
    <n v="-136421"/>
    <n v="173796"/>
    <n v="-189060"/>
    <n v="-5315"/>
    <n v="-22939"/>
    <x v="18"/>
  </r>
  <r>
    <x v="39"/>
    <x v="0"/>
    <s v="INTEREST EXPENSE ON DEBT"/>
    <s v="@URBN(WC01251)~U$"/>
    <s v="US9170471026"/>
    <s v="U$"/>
    <n v="0"/>
    <n v="3405"/>
    <n v="1104"/>
    <n v="1315"/>
    <n v="7662"/>
    <x v="18"/>
  </r>
  <r>
    <x v="40"/>
    <x v="0"/>
    <s v="TOTAL INVENTORIES"/>
    <s v="@URBN(WC02101)~U$"/>
    <s v="US9170471026"/>
    <s v="U$"/>
    <n v="409534"/>
    <n v="389618"/>
    <n v="569699"/>
    <n v="587510"/>
    <n v="550242"/>
    <x v="18"/>
  </r>
  <r>
    <x v="41"/>
    <x v="0"/>
    <s v="LONG TERM DEBT"/>
    <s v="@URBN(WC03251)~U$"/>
    <s v="US9170471026"/>
    <s v="U$"/>
    <n v="0"/>
    <n v="0"/>
    <n v="0"/>
    <n v="0"/>
    <n v="0"/>
    <x v="18"/>
  </r>
  <r>
    <x v="42"/>
    <x v="0"/>
    <s v="MARKET CAPITALIZATION"/>
    <s v="@URBN(WC08001)~U$"/>
    <s v="US9170471026"/>
    <s v="U$"/>
    <n v="2720816"/>
    <n v="2504089"/>
    <n v="2831215"/>
    <n v="2198510"/>
    <n v="3311587"/>
    <x v="18"/>
  </r>
  <r>
    <x v="43"/>
    <x v="0"/>
    <s v="NET CASH FLOW - FINANCING"/>
    <s v="@URBN(WC04890)~U$"/>
    <s v="US9170471026"/>
    <s v="U$"/>
    <n v="-222047"/>
    <n v="-10417"/>
    <n v="-60265"/>
    <n v="-118400"/>
    <n v="-12132"/>
    <x v="18"/>
  </r>
  <r>
    <x v="44"/>
    <x v="0"/>
    <s v="NET CASH FLOW - INVESTING"/>
    <s v="@URBN(WC04870)~U$"/>
    <s v="US9170471026"/>
    <s v="U$"/>
    <n v="186145"/>
    <n v="101900"/>
    <n v="487664"/>
    <n v="32011"/>
    <n v="521648"/>
    <x v="18"/>
  </r>
  <r>
    <x v="45"/>
    <x v="0"/>
    <s v="NET CASH FLOW-OPERATING ACTIVS"/>
    <s v="@URBN(WC04860)~U$"/>
    <s v="US9170471026"/>
    <s v="U$"/>
    <n v="273893"/>
    <n v="285814"/>
    <n v="359319"/>
    <n v="142729"/>
    <n v="509411"/>
    <x v="18"/>
  </r>
  <r>
    <x v="46"/>
    <x v="0"/>
    <s v="NET DEBT"/>
    <s v="@URBN(WC18199)~U$"/>
    <s v="US9170471026"/>
    <s v="U$"/>
    <n v="-433292"/>
    <n v="-570330"/>
    <n v="-445995"/>
    <n v="-370205"/>
    <n v="-451499"/>
    <x v="18"/>
  </r>
  <r>
    <x v="47"/>
    <x v="0"/>
    <s v="NET INCOME - DILUTED"/>
    <s v="@URBN(WC01705)~U$"/>
    <s v="US9170471026"/>
    <s v="U$"/>
    <n v="168096"/>
    <n v="1236"/>
    <n v="310616"/>
    <n v="159699"/>
    <n v="287674"/>
    <x v="18"/>
  </r>
  <r>
    <x v="48"/>
    <x v="0"/>
    <s v="NET SALES OR REVENUES"/>
    <s v="@URBN(WC01001)~U$"/>
    <s v="US9170471026"/>
    <s v="U$"/>
    <n v="3983789"/>
    <n v="3449749"/>
    <n v="4548763"/>
    <n v="4795244"/>
    <n v="5153237"/>
    <x v="18"/>
  </r>
  <r>
    <x v="49"/>
    <x v="0"/>
    <s v="NON-OPERATING INTEREST INCOME"/>
    <s v="@URBN(WC01266)~U$"/>
    <s v="US9170471026"/>
    <s v="U$"/>
    <n v="10599"/>
    <n v="3119"/>
    <n v="2343"/>
    <n v="3506"/>
    <n v="23635"/>
    <x v="18"/>
  </r>
  <r>
    <x v="50"/>
    <x v="0"/>
    <s v="OPERATING EXPENSES - TOTAL"/>
    <s v="@URBN(WC01249)~U$"/>
    <s v="US9170471026"/>
    <s v="U$"/>
    <n v="3723342"/>
    <n v="3430281"/>
    <n v="4140197"/>
    <n v="4562204"/>
    <n v="4765163"/>
    <x v="18"/>
  </r>
  <r>
    <x v="51"/>
    <x v="0"/>
    <s v="OPERATING INCOME"/>
    <s v="@URBN(WC01250)~U$"/>
    <s v="US9170471026"/>
    <s v="U$"/>
    <n v="260447"/>
    <n v="19468"/>
    <n v="408566"/>
    <n v="233040"/>
    <n v="388074"/>
    <x v="18"/>
  </r>
  <r>
    <x v="52"/>
    <x v="0"/>
    <s v="PRETAX INCOME"/>
    <s v="@URBN(WC01401)~U$"/>
    <s v="US9170471026"/>
    <s v="U$"/>
    <n v="239720"/>
    <n v="3513"/>
    <n v="404631"/>
    <n v="221279"/>
    <n v="381607"/>
    <x v="18"/>
  </r>
  <r>
    <x v="53"/>
    <x v="0"/>
    <s v="PROPERTY, PLANT &amp; EQUIP - NET"/>
    <s v="@URBN(WC02501)~U$"/>
    <s v="US9170471026"/>
    <s v="U$"/>
    <n v="2060563"/>
    <n v="2082184"/>
    <n v="2145340"/>
    <n v="2147171"/>
    <n v="2206937"/>
    <x v="18"/>
  </r>
  <r>
    <x v="54"/>
    <x v="0"/>
    <s v="RECEIVABLES(NET)"/>
    <s v="@URBN(WC02051)~U$"/>
    <s v="US9170471026"/>
    <s v="U$"/>
    <n v="88288"/>
    <n v="89952"/>
    <n v="63760"/>
    <n v="70339"/>
    <n v="67008"/>
    <x v="18"/>
  </r>
  <r>
    <x v="55"/>
    <x v="0"/>
    <s v="SELLING, GENERAL &amp; ADMINISTRAT"/>
    <s v="@URBN(WC01101)~U$"/>
    <s v="US9170471026"/>
    <s v="U$"/>
    <n v="993990"/>
    <n v="857934"/>
    <n v="1085384"/>
    <n v="1200593"/>
    <n v="1339205"/>
    <x v="18"/>
  </r>
  <r>
    <x v="56"/>
    <x v="0"/>
    <s v="SHORT TERM DEBT &amp; CURRENT PORT"/>
    <s v="@URBN(WC03051)~U$"/>
    <s v="US9170471026"/>
    <s v="U$"/>
    <n v="0"/>
    <n v="0"/>
    <n v="0"/>
    <n v="12433"/>
    <n v="13566"/>
    <x v="18"/>
  </r>
  <r>
    <x v="57"/>
    <x v="0"/>
    <s v="TOTAL ASSETS"/>
    <s v="@URBN(WC02999)~U$"/>
    <s v="US9170471026"/>
    <s v="U$"/>
    <n v="3211055"/>
    <n v="3429178"/>
    <n v="3654644"/>
    <n v="3487734"/>
    <n v="3803592"/>
    <x v="18"/>
  </r>
  <r>
    <x v="58"/>
    <x v="0"/>
    <s v="TOTAL CAPITAL"/>
    <s v="@URBN(WC03998)~U$"/>
    <s v="US9170471026"/>
    <s v="U$"/>
    <n v="1455355"/>
    <n v="1477358"/>
    <n v="1745740"/>
    <n v="1792683"/>
    <n v="2112540"/>
    <x v="18"/>
  </r>
  <r>
    <x v="59"/>
    <x v="0"/>
    <s v="TOTAL DEBT"/>
    <s v="@URBN(WC03255)~U$"/>
    <s v="US9170471026"/>
    <s v="U$"/>
    <n v="0"/>
    <n v="0"/>
    <n v="0"/>
    <n v="12433"/>
    <n v="13566"/>
    <x v="18"/>
  </r>
  <r>
    <x v="60"/>
    <x v="0"/>
    <s v="TOTAL INTANGIBLE OT ASSETS-NET"/>
    <s v="@URBN(WC02649)~U$"/>
    <s v="US9170471026"/>
    <s v="U$"/>
    <n v="0"/>
    <n v="0"/>
    <n v="0"/>
    <n v="0"/>
    <n v="0"/>
    <x v="18"/>
  </r>
  <r>
    <x v="61"/>
    <x v="0"/>
    <s v="TOTAL LIABILITIES"/>
    <s v="@URBN(WC03351)~U$"/>
    <s v="US9170471026"/>
    <s v="U$"/>
    <n v="1755700"/>
    <n v="1951820"/>
    <n v="1908904"/>
    <n v="1695051"/>
    <n v="1691052"/>
    <x v="18"/>
  </r>
  <r>
    <x v="62"/>
    <x v="0"/>
    <s v="TOTAL LIABILITIES &amp; SHAREHOLDE"/>
    <s v="@URBN(WC03999)~U$"/>
    <s v="US9170471026"/>
    <s v="U$"/>
    <n v="3211055"/>
    <n v="3429178"/>
    <n v="3654644"/>
    <n v="3487734"/>
    <n v="3803592"/>
    <x v="18"/>
  </r>
  <r>
    <x v="63"/>
    <x v="0"/>
    <s v="TOTAL SHAREHOLDERS EQUITY"/>
    <s v="@URBN(WC03995)~U$"/>
    <s v="US9170471026"/>
    <s v="U$"/>
    <n v="1455355"/>
    <n v="1477358"/>
    <n v="1745740"/>
    <n v="1792683"/>
    <n v="2112540"/>
    <x v="18"/>
  </r>
  <r>
    <x v="64"/>
    <x v="0"/>
    <s v="WORKING CAPITAL"/>
    <s v="@URBN(WC03151)~U$"/>
    <s v="US9170471026"/>
    <s v="U$"/>
    <n v="414626"/>
    <n v="317200"/>
    <n v="304274"/>
    <n v="347345"/>
    <n v="288298"/>
    <x v="18"/>
  </r>
  <r>
    <x v="65"/>
    <x v="0"/>
    <s v="BK VAL PS 12M FWD"/>
    <s v="@URBN(DIBV)~U$"/>
    <s v="US9170471026"/>
    <s v="U$"/>
    <n v="17.190000000000001"/>
    <n v="16.38"/>
    <n v="20.88"/>
    <n v="21.95"/>
    <n v="25.72"/>
    <x v="19"/>
  </r>
  <r>
    <x v="66"/>
    <x v="0"/>
    <s v="EV 12M FWD"/>
    <s v="@URBN(DIEV)~U$"/>
    <s v="US9170471026"/>
    <s v="U$"/>
    <n v="1621876"/>
    <n v="2322130"/>
    <n v="3604913"/>
    <n v="1906800"/>
    <n v="2933193"/>
    <x v="20"/>
  </r>
  <r>
    <x v="67"/>
    <x v="0"/>
    <s v="NET INCOME 12M FWD"/>
    <s v="@URBN(DINI)~U$"/>
    <s v="US9170471026"/>
    <s v="U$"/>
    <n v="261223.4"/>
    <n v="103476.7"/>
    <n v="312893.3"/>
    <n v="192280"/>
    <n v="305456.8"/>
    <x v="21"/>
  </r>
  <r>
    <x v="68"/>
    <x v="0"/>
    <s v="PRETAX PRF 12M FWD"/>
    <s v="@URBN(DINP)~U$"/>
    <s v="US9170471026"/>
    <s v="U$"/>
    <n v="351468.3"/>
    <n v="145360"/>
    <n v="416333.3"/>
    <n v="249043.3"/>
    <n v="408193.4"/>
    <x v="22"/>
  </r>
  <r>
    <x v="69"/>
    <x v="0"/>
    <s v="ROE 12M FWD"/>
    <s v="@URBN(DIRE)~U$"/>
    <s v="US9170471026"/>
    <s v="U$"/>
    <n v="16.36"/>
    <n v="7"/>
    <n v="16.09"/>
    <n v="10.39"/>
    <n v="14.36"/>
    <x v="23"/>
  </r>
  <r>
    <x v="70"/>
    <x v="0"/>
    <s v="SALES 12M FWD"/>
    <s v="@URBN(DISL)~U$"/>
    <s v="US9170471026"/>
    <s v="U$"/>
    <n v="4104977"/>
    <n v="3830753"/>
    <n v="4661398"/>
    <n v="4843141"/>
    <n v="5265871"/>
    <x v="24"/>
  </r>
  <r>
    <x v="71"/>
    <x v="0"/>
    <s v="DECREASE/INCREASE RECEIVABLES"/>
    <s v="@URBN(WC04825)~U$"/>
    <s v="US9170471026"/>
    <s v="U$"/>
    <n v="-7825"/>
    <n v="-1223"/>
    <n v="26029"/>
    <n v="-7103"/>
    <n v="3708"/>
    <x v="18"/>
  </r>
  <r>
    <x v="72"/>
    <x v="0"/>
    <s v="DECREASE/INCR OTH ASTS/LIABILT"/>
    <s v="@URBN(WC04830)~U$"/>
    <s v="US9170471026"/>
    <s v="U$"/>
    <n v="-16308"/>
    <n v="-25239"/>
    <n v="-10209"/>
    <n v="-31257"/>
    <n v="-53532"/>
    <x v="18"/>
  </r>
  <r>
    <x v="73"/>
    <x v="0"/>
    <s v="DECREASE/INCREASE INVENTORIES"/>
    <s v="@URBN(WC04826)~U$"/>
    <s v="US9170471026"/>
    <s v="U$"/>
    <n v="-39101"/>
    <n v="22381"/>
    <n v="-181898"/>
    <n v="-22286"/>
    <n v="38785"/>
    <x v="18"/>
  </r>
  <r>
    <x v="74"/>
    <x v="0"/>
    <s v="DECREASE IN INVESTMENTS"/>
    <s v="@URBN(WC04440)~U$"/>
    <s v="US9170471026"/>
    <s v="U$"/>
    <n v="428508"/>
    <n v="396260"/>
    <n v="280701"/>
    <n v="276650"/>
    <n v="347366"/>
    <x v="18"/>
  </r>
  <r>
    <x v="75"/>
    <x v="1"/>
    <s v="MARKET VALUE"/>
    <s v="D:IXD1X(MV)~U$"/>
    <s v="ES0148396007"/>
    <s v="U$"/>
    <n v="90890.46"/>
    <n v="92811.31"/>
    <n v="116948.47"/>
    <n v="69898.44"/>
    <n v="118418.61"/>
    <x v="25"/>
  </r>
  <r>
    <x v="76"/>
    <x v="1"/>
    <s v="PER"/>
    <s v="D:IXD1X(PE)"/>
    <s v="ES0148396007"/>
    <s v="E"/>
    <n v="22.9"/>
    <n v="41.3"/>
    <n v="38.700000000000003"/>
    <n v="18.5"/>
    <n v="22.8"/>
    <x v="26"/>
  </r>
  <r>
    <x v="77"/>
    <x v="1"/>
    <s v="12MTH FORWARD EPS"/>
    <s v="D:IXD1X(EPS1FD12)~U$"/>
    <s v="ES0148396007"/>
    <s v="U$"/>
    <n v="1.39"/>
    <n v="1.032"/>
    <n v="1.4750000000000001"/>
    <n v="1.3169999999999999"/>
    <n v="1.865"/>
    <x v="27"/>
  </r>
  <r>
    <x v="78"/>
    <x v="1"/>
    <e v="#VALUE!"/>
    <s v="529E(D:IXD1X)"/>
    <s v="ES0148396007"/>
    <s v="E"/>
    <n v="4.7889999999999997"/>
    <n v="3.6429999999999998"/>
    <n v="4.1639999999999997"/>
    <n v="5.9829999999999997"/>
    <n v="4.88"/>
    <x v="28"/>
  </r>
  <r>
    <x v="78"/>
    <x v="1"/>
    <e v="#VALUE!"/>
    <s v="384E(D:IXD1X)"/>
    <s v="ES0148396007"/>
    <s v="NA"/>
    <n v="14.698"/>
    <n v="21.385000000000002"/>
    <n v="19.209"/>
    <n v="12.446999999999999"/>
    <n v="15.398999999999999"/>
    <x v="29"/>
  </r>
  <r>
    <x v="78"/>
    <x v="1"/>
    <e v="#VALUE!"/>
    <s v="380E(D:IXD1X)"/>
    <s v="ES0148396007"/>
    <s v="NA"/>
    <n v="9.3529999999999998"/>
    <n v="12.18"/>
    <n v="12.531000000000001"/>
    <n v="8.0169999999999995"/>
    <n v="10.603999999999999"/>
    <x v="30"/>
  </r>
  <r>
    <x v="78"/>
    <x v="1"/>
    <e v="#VALUE!"/>
    <s v="157E(D:IXD1X)"/>
    <s v="ES0148396007"/>
    <s v="E"/>
    <n v="4.3479999999999999"/>
    <n v="4.3140000000000001"/>
    <n v="4.8070000000000004"/>
    <n v="6.3659999999999997"/>
    <n v="5.32"/>
    <x v="31"/>
  </r>
  <r>
    <x v="78"/>
    <x v="1"/>
    <e v="#VALUE!"/>
    <s v="388E(D:IXD1X)"/>
    <s v="ES0148396007"/>
    <s v="NA"/>
    <n v="2.6240000000000001"/>
    <n v="3.044"/>
    <n v="3.4049999999999998"/>
    <n v="2.0720000000000001"/>
    <n v="2.8159999999999998"/>
    <x v="32"/>
  </r>
  <r>
    <x v="78"/>
    <x v="1"/>
    <e v="#VALUE!"/>
    <s v="334E(D:IXD1X)"/>
    <s v="ES0148396007"/>
    <s v="E"/>
    <n v="-0.93300000000000005"/>
    <n v="-1.085"/>
    <n v="-1.032"/>
    <n v="-1.123"/>
    <n v="-1.113"/>
    <x v="33"/>
  </r>
  <r>
    <x v="78"/>
    <x v="1"/>
    <e v="#VALUE!"/>
    <s v="338E(D:IXD1X)"/>
    <s v="ES0148396007"/>
    <s v="E"/>
    <n v="-0.10299999999999999"/>
    <n v="-9.1999999999999998E-2"/>
    <n v="-9.1999999999999998E-2"/>
    <n v="-0.155"/>
    <n v="-0.112"/>
    <x v="34"/>
  </r>
  <r>
    <x v="78"/>
    <x v="1"/>
    <e v="#VALUE!"/>
    <s v="251E(D:IXD1X)"/>
    <s v="ES0148396007"/>
    <s v="E"/>
    <n v="1.65"/>
    <n v="1.61"/>
    <n v="1.62"/>
    <n v="1.68"/>
    <n v="1.85"/>
    <x v="35"/>
  </r>
  <r>
    <x v="78"/>
    <x v="1"/>
    <e v="#VALUE!"/>
    <s v="250E(D:IXD1X)"/>
    <s v="ES0148396007"/>
    <s v="E"/>
    <n v="1"/>
    <n v="1"/>
    <n v="1"/>
    <n v="1"/>
    <n v="1"/>
    <x v="36"/>
  </r>
  <r>
    <x v="78"/>
    <x v="1"/>
    <e v="#VALUE!"/>
    <s v="553E(D:IXD1X)"/>
    <s v="ES0148396007"/>
    <s v="E"/>
    <n v="5.1449999999999996"/>
    <n v="5.1630000000000003"/>
    <n v="6.31"/>
    <n v="4.2510000000000003"/>
    <n v="5.9649999999999999"/>
    <x v="37"/>
  </r>
  <r>
    <x v="79"/>
    <x v="1"/>
    <s v="12MTH TRAILING EPS"/>
    <s v="D:IXD1X(EPS1TR12)~U$"/>
    <s v="ES0148396007"/>
    <s v="U$"/>
    <n v="1.292"/>
    <n v="0.86599999999999999"/>
    <n v="1.0409999999999999"/>
    <n v="1.1910000000000001"/>
    <n v="1.6539999999999999"/>
    <x v="38"/>
  </r>
  <r>
    <x v="80"/>
    <x v="1"/>
    <s v="DIV.PER SHR."/>
    <s v="D:IXD1X(DPS)~U$"/>
    <s v="ES0148396007"/>
    <s v="U$"/>
    <n v="1.02"/>
    <n v="0.42"/>
    <n v="0.62"/>
    <n v="0.53"/>
    <n v="1.19"/>
    <x v="39"/>
  </r>
  <r>
    <x v="78"/>
    <x v="1"/>
    <e v="#VALUE!"/>
    <s v="354E(D:IXD1X)"/>
    <s v="ES0148396007"/>
    <s v="E"/>
    <n v="4.056"/>
    <n v="3.3639999999999999"/>
    <n v="3.468"/>
    <n v="5.33"/>
    <n v="4.1719999999999997"/>
    <x v="40"/>
  </r>
  <r>
    <x v="77"/>
    <x v="1"/>
    <s v="12MTH FORWARD EPS"/>
    <s v="D:IXD1X(EPS1FD12)~U$"/>
    <s v="ES0148396007"/>
    <s v="U$"/>
    <n v="1.39"/>
    <n v="1.032"/>
    <n v="1.4750000000000001"/>
    <n v="1.3169999999999999"/>
    <n v="1.865"/>
    <x v="27"/>
  </r>
  <r>
    <x v="76"/>
    <x v="1"/>
    <s v="PER"/>
    <s v="D:IXD1X(PE)"/>
    <s v="ES0148396007"/>
    <s v="E"/>
    <n v="22.9"/>
    <n v="41.3"/>
    <n v="38.700000000000003"/>
    <n v="18.5"/>
    <n v="22.8"/>
    <x v="26"/>
  </r>
  <r>
    <x v="75"/>
    <x v="1"/>
    <s v="MARKET VALUE"/>
    <s v="D:IXD1X(MV)~U$"/>
    <s v="ES0148396007"/>
    <s v="U$"/>
    <n v="90890.46"/>
    <n v="92811.31"/>
    <n v="116948.47"/>
    <n v="69898.44"/>
    <n v="118418.61"/>
    <x v="25"/>
  </r>
  <r>
    <x v="81"/>
    <x v="1"/>
    <s v="EARNINGS PER SHR"/>
    <s v="D:IXD1X(EPS)~U$"/>
    <s v="ES0148396007"/>
    <s v="U$"/>
    <n v="1.27"/>
    <n v="0.72"/>
    <n v="0.97"/>
    <n v="1.21"/>
    <n v="1.66"/>
    <x v="41"/>
  </r>
  <r>
    <x v="78"/>
    <x v="1"/>
    <e v="#VALUE!"/>
    <s v="897E(D:IXD1X)"/>
    <s v="ES0148396007"/>
    <s v="NA"/>
    <n v="0.73"/>
    <n v="0.83"/>
    <n v="0.83"/>
    <n v="0.86"/>
    <n v="0.85"/>
    <x v="42"/>
  </r>
  <r>
    <x v="78"/>
    <x v="1"/>
    <e v="#VALUE!"/>
    <s v="400E(D:IXD1X)"/>
    <s v="ES0148396007"/>
    <s v="NA"/>
    <n v="0.1767"/>
    <n v="0.27889999999999998"/>
    <n v="0.29520000000000002"/>
    <n v="0.31969999999999998"/>
    <n v="0.32119999999999999"/>
    <x v="43"/>
  </r>
  <r>
    <x v="82"/>
    <x v="2"/>
    <s v="ACCOUNTS PAYABLE"/>
    <s v="D:IXD1X(WC03040)~U$"/>
    <s v="ES0148396007"/>
    <s v="U$"/>
    <n v="4141642"/>
    <n v="4726013"/>
    <n v="4032898"/>
    <n v="4649987"/>
    <n v="4851126"/>
    <x v="44"/>
  </r>
  <r>
    <x v="83"/>
    <x v="2"/>
    <s v="AMORTIZATION OF DEFERRED CHARG"/>
    <s v="D:IXD1X(WC01150)~U$"/>
    <s v="ES0148396007"/>
    <s v="U$"/>
    <n v="0"/>
    <n v="0"/>
    <n v="0"/>
    <n v="0"/>
    <n v="0"/>
    <x v="14"/>
  </r>
  <r>
    <x v="84"/>
    <x v="2"/>
    <s v="AMORTIZATION-INTANGIBLE ASSETS"/>
    <s v="D:IXD1X(WC04050)~U$"/>
    <s v="ES0148396007"/>
    <s v="U$"/>
    <s v="NA"/>
    <s v="NA"/>
    <n v="214791"/>
    <n v="356071"/>
    <n v="345899"/>
    <x v="45"/>
  </r>
  <r>
    <x v="85"/>
    <x v="2"/>
    <s v="AMORTIZATION OF INTANGIBLES"/>
    <s v="D:IXD1X(WC01149)~U$"/>
    <s v="ES0148396007"/>
    <s v="U$"/>
    <n v="174734"/>
    <n v="188566"/>
    <n v="214791"/>
    <n v="356071"/>
    <n v="345899"/>
    <x v="45"/>
  </r>
  <r>
    <x v="86"/>
    <x v="2"/>
    <s v="BOOK VALUE-OUT SHARES-FISCAL"/>
    <s v="D:IXD1X(WC05491)~U$"/>
    <s v="ES0148396007"/>
    <s v="U$"/>
    <n v="5.2039999999999997"/>
    <n v="5.6790000000000003"/>
    <n v="5.4710000000000001"/>
    <n v="5.07"/>
    <n v="5.835"/>
    <x v="46"/>
  </r>
  <r>
    <x v="87"/>
    <x v="2"/>
    <s v="BOOK VALUE PER SHARE"/>
    <s v="D:IXD1X(WC05476)~U$"/>
    <s v="ES0148396007"/>
    <s v="U$"/>
    <n v="5.2039999999999997"/>
    <n v="5.6790000000000003"/>
    <n v="5.4710000000000001"/>
    <n v="5.07"/>
    <n v="5.835"/>
    <x v="46"/>
  </r>
  <r>
    <x v="88"/>
    <x v="2"/>
    <s v="CAPITAL EXPENDITURES"/>
    <s v="D:IXD1X(WC04601)~U$"/>
    <s v="ES0148396007"/>
    <s v="U$"/>
    <n v="1538324"/>
    <n v="1083959"/>
    <n v="548127"/>
    <n v="668009"/>
    <n v="1096414"/>
    <x v="47"/>
  </r>
  <r>
    <x v="89"/>
    <x v="2"/>
    <s v="CASH"/>
    <s v="D:IXD1X(WC02003)~U$"/>
    <s v="ES0148396007"/>
    <s v="U$"/>
    <n v="5381370"/>
    <n v="5668844"/>
    <n v="8683172"/>
    <n v="7042183"/>
    <n v="5936864"/>
    <x v="48"/>
  </r>
  <r>
    <x v="90"/>
    <x v="2"/>
    <s v="CASH - GENERIC"/>
    <s v="D:IXD1X(WC02005)~U$"/>
    <s v="ES0148396007"/>
    <s v="U$"/>
    <n v="7536794"/>
    <n v="9621618"/>
    <n v="8892094"/>
    <n v="9445412"/>
    <n v="10773044"/>
    <x v="49"/>
  </r>
  <r>
    <x v="91"/>
    <x v="2"/>
    <s v="CASH &amp; SHORT TERM INVESTMENTS"/>
    <s v="D:IXD1X(WC02001)~U$"/>
    <s v="ES0148396007"/>
    <s v="U$"/>
    <n v="7536794"/>
    <n v="9621618"/>
    <n v="8892094"/>
    <n v="9445412"/>
    <n v="10773044"/>
    <x v="49"/>
  </r>
  <r>
    <x v="92"/>
    <x v="2"/>
    <s v="CASH DIVIDENDS PAID - TOTAL"/>
    <s v="D:IXD1X(WC04551)~U$"/>
    <s v="ES0148396007"/>
    <s v="U$"/>
    <n v="2582306"/>
    <n v="3250691"/>
    <n v="1279354"/>
    <n v="2198613"/>
    <n v="3110955"/>
    <x v="50"/>
  </r>
  <r>
    <x v="93"/>
    <x v="2"/>
    <s v="CASH FLOW PER SHARE"/>
    <s v="D:IXD1X(WC05501)~U$"/>
    <s v="ES0148396007"/>
    <s v="U$"/>
    <n v="1.5549999999999999"/>
    <n v="2.5489999999999999"/>
    <n v="1.456"/>
    <n v="2.1040000000000001"/>
    <n v="2.5190000000000001"/>
    <x v="51"/>
  </r>
  <r>
    <x v="94"/>
    <x v="2"/>
    <s v="CASH FLOW PER SHARE - FIS YR"/>
    <s v="D:IXD1X(WC05502)~U$"/>
    <s v="ES0148396007"/>
    <s v="U$"/>
    <n v="1.5549999999999999"/>
    <n v="2.5489999999999999"/>
    <n v="1.456"/>
    <n v="2.1040000000000001"/>
    <n v="2.5190000000000001"/>
    <x v="51"/>
  </r>
  <r>
    <x v="95"/>
    <x v="2"/>
    <s v="COMMON DIVIDENDS (CASH)"/>
    <s v="D:IXD1X(WC05376)~U$"/>
    <s v="ES0148396007"/>
    <s v="U$"/>
    <n v="2582306"/>
    <n v="3250691"/>
    <n v="1279354"/>
    <n v="2198613"/>
    <n v="3110955"/>
    <x v="50"/>
  </r>
  <r>
    <x v="96"/>
    <x v="2"/>
    <s v="COMMON SHAREHOLDERS' EQUITY"/>
    <s v="D:IXD1X(WC03501)~U$"/>
    <s v="ES0148396007"/>
    <s v="U$"/>
    <n v="16203830"/>
    <n v="17686082"/>
    <n v="17042398"/>
    <n v="15780468"/>
    <n v="18157559"/>
    <x v="52"/>
  </r>
  <r>
    <x v="97"/>
    <x v="2"/>
    <s v="COMMON STOCK"/>
    <s v="D:IXD1X(WC03480)~U$"/>
    <s v="ES0148396007"/>
    <s v="U$"/>
    <n v="103956"/>
    <n v="111479"/>
    <n v="110330"/>
    <n v="94284"/>
    <n v="100353"/>
    <x v="53"/>
  </r>
  <r>
    <x v="98"/>
    <x v="2"/>
    <s v="COST OF GOODS SOLD (EXCL DEP)"/>
    <s v="D:IXD1X(WC01051)~U$"/>
    <s v="ES0148396007"/>
    <s v="U$"/>
    <n v="21944622"/>
    <n v="23128410"/>
    <n v="17596393"/>
    <n v="19689225"/>
    <n v="24264170"/>
    <x v="54"/>
  </r>
  <r>
    <x v="99"/>
    <x v="2"/>
    <s v="CURRENT ASSETS - TOTAL"/>
    <s v="D:IXD1X(WC02201)~U$"/>
    <s v="ES0148396007"/>
    <s v="U$"/>
    <n v="11744791"/>
    <n v="13536441"/>
    <n v="12860438"/>
    <n v="13643038"/>
    <n v="15628440"/>
    <x v="55"/>
  </r>
  <r>
    <x v="100"/>
    <x v="2"/>
    <s v="CURRENT LIABILITIES-TOTAL"/>
    <s v="D:IXD1X(WC03101)~U$"/>
    <s v="ES0148396007"/>
    <s v="U$"/>
    <n v="5953127"/>
    <n v="8664555"/>
    <n v="7439030"/>
    <n v="8054227"/>
    <n v="8686974"/>
    <x v="56"/>
  </r>
  <r>
    <x v="101"/>
    <x v="2"/>
    <s v="DEFERRED TAXES"/>
    <s v="D:IXD1X(WC03263)~U$"/>
    <s v="ES0148396007"/>
    <s v="U$"/>
    <n v="-603828"/>
    <n v="-1027033"/>
    <n v="-1032873"/>
    <n v="-822474"/>
    <n v="-873288"/>
    <x v="57"/>
  </r>
  <r>
    <x v="102"/>
    <x v="2"/>
    <s v="DEPRECIATION AND DEPLETION"/>
    <s v="D:IXD1X(WC04049)~U$"/>
    <s v="ES0148396007"/>
    <s v="U$"/>
    <n v="1216504"/>
    <n v="3351497"/>
    <n v="3009415"/>
    <n v="2500522"/>
    <n v="2617729"/>
    <x v="58"/>
  </r>
  <r>
    <x v="103"/>
    <x v="2"/>
    <s v="DEPRECIATION/DEPLETION/AMORT"/>
    <s v="D:IXD1X(WC01151)~U$"/>
    <s v="ES0148396007"/>
    <s v="U$"/>
    <n v="1333730"/>
    <n v="3349125"/>
    <n v="3224206"/>
    <n v="2856593"/>
    <n v="2963628"/>
    <x v="59"/>
  </r>
  <r>
    <x v="104"/>
    <x v="2"/>
    <s v="DIVIDENDS PER SHARE"/>
    <s v="D:IXD1X(WC05101)~U$"/>
    <s v="ES0148396007"/>
    <s v="U$"/>
    <n v="0.97299999999999998"/>
    <n v="0.41499999999999998"/>
    <n v="0.82199999999999995"/>
    <n v="0.93300000000000005"/>
    <n v="1.2809999999999999"/>
    <x v="60"/>
  </r>
  <r>
    <x v="105"/>
    <x v="2"/>
    <s v="DIVIDENDS PER SHARE - FISCAL"/>
    <s v="D:IXD1X(WC05110)~U$"/>
    <s v="ES0148396007"/>
    <s v="U$"/>
    <n v="0.97299999999999998"/>
    <n v="0.41499999999999998"/>
    <n v="0.82199999999999995"/>
    <n v="0.93300000000000005"/>
    <n v="1.2809999999999999"/>
    <x v="60"/>
  </r>
  <r>
    <x v="106"/>
    <x v="2"/>
    <s v="EARNINGS BEF INTEREST &amp; TAXES"/>
    <s v="D:IXD1X(WC18191)~U$"/>
    <s v="ES0148396007"/>
    <s v="U$"/>
    <n v="4853850"/>
    <n v="5664100"/>
    <n v="1755883"/>
    <n v="4266835"/>
    <n v="5817294"/>
    <x v="61"/>
  </r>
  <r>
    <x v="107"/>
    <x v="2"/>
    <s v="EBIT &amp; DEPRECIATION"/>
    <s v="D:IXD1X(WC18198)~U$"/>
    <s v="ES0148396007"/>
    <s v="U$"/>
    <n v="6187580"/>
    <n v="9013225"/>
    <n v="4980089"/>
    <n v="7123427"/>
    <n v="8780922"/>
    <x v="62"/>
  </r>
  <r>
    <x v="108"/>
    <x v="2"/>
    <s v="EARNINGS PER SHARE"/>
    <s v="D:IXD1X(WC05201)~U$"/>
    <s v="ES0148396007"/>
    <s v="U$"/>
    <n v="1.2230000000000001"/>
    <n v="1.3859999999999999"/>
    <n v="0.41699999999999998"/>
    <n v="1.0449999999999999"/>
    <n v="1.417"/>
    <x v="63"/>
  </r>
  <r>
    <x v="109"/>
    <x v="2"/>
    <s v="FISCAL EPS-FULLY DILUTED-YR"/>
    <s v="D:IXD1X(WC10030)~U$"/>
    <s v="ES0148396007"/>
    <s v="U$"/>
    <n v="1.2230000000000001"/>
    <n v="1.3859999999999999"/>
    <n v="0.41699999999999998"/>
    <n v="1.0449999999999999"/>
    <n v="1.417"/>
    <x v="63"/>
  </r>
  <r>
    <x v="110"/>
    <x v="2"/>
    <s v="ENTERPRISE VALUE"/>
    <s v="D:IXD1X(WC18100)~U$"/>
    <s v="ES0148396007"/>
    <s v="U$"/>
    <n v="76443592"/>
    <n v="110707513"/>
    <n v="87907470"/>
    <n v="79933705"/>
    <n v="90151950"/>
    <x v="64"/>
  </r>
  <r>
    <x v="111"/>
    <x v="2"/>
    <s v="GROSS INCOME"/>
    <s v="D:IXD1X(WC01100)~U$"/>
    <s v="ES0148396007"/>
    <s v="U$"/>
    <n v="5635730"/>
    <n v="7068266"/>
    <n v="3125613"/>
    <n v="5253804"/>
    <n v="7542518"/>
    <x v="65"/>
  </r>
  <r>
    <x v="112"/>
    <x v="2"/>
    <s v="INCOME TAXES"/>
    <s v="D:IXD1X(WC01451)~U$"/>
    <s v="ES0148396007"/>
    <s v="U$"/>
    <n v="1083794"/>
    <n v="1226273"/>
    <n v="348595"/>
    <n v="951863"/>
    <n v="1292851"/>
    <x v="66"/>
  </r>
  <r>
    <x v="113"/>
    <x v="2"/>
    <s v="INCREASE/DECREASE IN CASH/SHOR"/>
    <s v="D:IXD1X(WC04851)~U$"/>
    <s v="ES0148396007"/>
    <s v="U$"/>
    <n v="-71884"/>
    <n v="-101992"/>
    <n v="3072796"/>
    <n v="-378137"/>
    <n v="-1559748"/>
    <x v="67"/>
  </r>
  <r>
    <x v="114"/>
    <x v="2"/>
    <s v="INTEREST EXPENSE ON DEBT"/>
    <s v="D:IXD1X(WC01251)~U$"/>
    <s v="ES0148396007"/>
    <s v="U$"/>
    <n v="16589"/>
    <n v="185008"/>
    <n v="150236"/>
    <n v="113341"/>
    <n v="153733"/>
    <x v="68"/>
  </r>
  <r>
    <x v="115"/>
    <x v="2"/>
    <s v="TOTAL INVENTORIES"/>
    <s v="D:IXD1X(WC02101)~U$"/>
    <s v="ES0148396007"/>
    <s v="U$"/>
    <n v="3003658"/>
    <n v="2690922"/>
    <n v="2724201"/>
    <n v="3051178"/>
    <n v="3406677"/>
    <x v="69"/>
  </r>
  <r>
    <x v="116"/>
    <x v="2"/>
    <s v="LONG TERM DEBT"/>
    <s v="D:IXD1X(WC03251)~U$"/>
    <s v="ES0148396007"/>
    <s v="U$"/>
    <n v="5530"/>
    <n v="6123063"/>
    <n v="5397933"/>
    <n v="4274859"/>
    <n v="4189220"/>
    <x v="70"/>
  </r>
  <r>
    <x v="117"/>
    <x v="2"/>
    <s v="MARKET CAPITALIZATION"/>
    <s v="D:IXD1X(WC08001)~U$"/>
    <s v="ES0148396007"/>
    <s v="U$"/>
    <n v="83848782"/>
    <n v="112176906"/>
    <n v="89536592"/>
    <n v="83477364"/>
    <n v="95076740"/>
    <x v="71"/>
  </r>
  <r>
    <x v="118"/>
    <x v="2"/>
    <s v="NET CASH FLOW - FINANCING"/>
    <s v="D:IXD1X(WC04890)~U$"/>
    <s v="ES0148396007"/>
    <s v="U$"/>
    <n v="-2499362"/>
    <n v="-5489766"/>
    <n v="-3269981"/>
    <n v="-3920794"/>
    <n v="-4925857"/>
    <x v="72"/>
  </r>
  <r>
    <x v="119"/>
    <x v="2"/>
    <s v="NET CASH FLOW - INVESTING"/>
    <s v="D:IXD1X(WC04870)~U$"/>
    <s v="ES0148396007"/>
    <s v="U$"/>
    <n v="2073586"/>
    <n v="2819005"/>
    <n v="-2950729"/>
    <n v="3262815"/>
    <n v="3740833"/>
    <x v="73"/>
  </r>
  <r>
    <x v="120"/>
    <x v="2"/>
    <s v="NET CASH FLOW-OPERATING ACTIVS"/>
    <s v="D:IXD1X(WC04860)~U$"/>
    <s v="ES0148396007"/>
    <s v="U$"/>
    <n v="4455721"/>
    <n v="8183060"/>
    <n v="3541110"/>
    <n v="6774377"/>
    <n v="7125091"/>
    <x v="74"/>
  </r>
  <r>
    <x v="121"/>
    <x v="2"/>
    <s v="NET DEBT"/>
    <s v="D:IXD1X(WC18199)~U$"/>
    <s v="ES0148396007"/>
    <s v="U$"/>
    <n v="-7438367"/>
    <n v="-1512087"/>
    <n v="-1664333"/>
    <n v="-3569738"/>
    <n v="-4951479"/>
    <x v="75"/>
  </r>
  <r>
    <x v="122"/>
    <x v="2"/>
    <s v="NET INCOME - DILUTED"/>
    <s v="D:IXD1X(WC01705)~U$"/>
    <s v="ES0148396007"/>
    <s v="U$"/>
    <n v="3808763"/>
    <n v="4315674"/>
    <n v="1298133"/>
    <n v="3252784"/>
    <n v="4409144"/>
    <x v="76"/>
  </r>
  <r>
    <x v="123"/>
    <x v="2"/>
    <s v="NET SALES OR REVENUES"/>
    <s v="D:IXD1X(WC01001)~U$"/>
    <s v="ES0148396007"/>
    <s v="U$"/>
    <n v="28914082"/>
    <n v="33545800"/>
    <n v="23946212"/>
    <n v="27799622"/>
    <n v="34770316"/>
    <x v="77"/>
  </r>
  <r>
    <x v="124"/>
    <x v="2"/>
    <s v="NON-OPERATING INTEREST INCOME"/>
    <s v="D:IXD1X(WC01266)~U$"/>
    <s v="ES0148396007"/>
    <s v="U$"/>
    <n v="32071"/>
    <n v="36764"/>
    <n v="7042"/>
    <n v="5015"/>
    <n v="50177"/>
    <x v="78"/>
  </r>
  <r>
    <x v="125"/>
    <x v="2"/>
    <s v="OPERATING EXPENSES - TOTAL"/>
    <s v="D:IXD1X(WC01249)~U$"/>
    <s v="ES0148396007"/>
    <s v="U$"/>
    <n v="24216166"/>
    <n v="27553192"/>
    <n v="21550652"/>
    <n v="23443518"/>
    <n v="28802492"/>
    <x v="79"/>
  </r>
  <r>
    <x v="126"/>
    <x v="2"/>
    <s v="OPERATING INCOME"/>
    <s v="D:IXD1X(WC01250)~U$"/>
    <s v="ES0148396007"/>
    <s v="U$"/>
    <n v="4697916"/>
    <n v="5992609"/>
    <n v="2395560"/>
    <n v="4356103"/>
    <n v="5967824"/>
    <x v="80"/>
  </r>
  <r>
    <x v="127"/>
    <x v="2"/>
    <s v="PRETAX INCOME"/>
    <s v="D:IXD1X(WC01401)~U$"/>
    <s v="ES0148396007"/>
    <s v="U$"/>
    <n v="4837261"/>
    <n v="5479092"/>
    <n v="1605647"/>
    <n v="4153494"/>
    <n v="5663561"/>
    <x v="81"/>
  </r>
  <r>
    <x v="128"/>
    <x v="2"/>
    <s v="PROPERTY, PLANT &amp; EQUIP - NET"/>
    <s v="D:IXD1X(WC02501)~U$"/>
    <s v="ES0148396007"/>
    <s v="U$"/>
    <n v="9222204"/>
    <n v="17075318"/>
    <n v="15115151"/>
    <n v="12743332"/>
    <n v="13345934"/>
    <x v="82"/>
  </r>
  <r>
    <x v="129"/>
    <x v="2"/>
    <s v="RECEIVABLES(NET)"/>
    <s v="D:IXD1X(WC02051)~U$"/>
    <s v="ES0148396007"/>
    <s v="U$"/>
    <n v="1026287"/>
    <n v="1131397"/>
    <n v="1140855"/>
    <n v="1064201"/>
    <n v="1162605"/>
    <x v="83"/>
  </r>
  <r>
    <x v="130"/>
    <x v="2"/>
    <s v="SHORT TERM DEBT &amp; CURRENT PORT"/>
    <s v="D:IXD1X(WC03051)~U$"/>
    <s v="ES0148396007"/>
    <s v="U$"/>
    <n v="92897"/>
    <n v="1986467"/>
    <n v="1829828"/>
    <n v="1600815"/>
    <n v="1632344"/>
    <x v="84"/>
  </r>
  <r>
    <x v="131"/>
    <x v="2"/>
    <s v="TOTAL ASSETS"/>
    <s v="D:IXD1X(WC02999)~U$"/>
    <s v="ES0148396007"/>
    <s v="U$"/>
    <n v="23031734"/>
    <n v="32204490"/>
    <n v="29509640"/>
    <n v="27849773"/>
    <n v="30725220"/>
    <x v="85"/>
  </r>
  <r>
    <x v="132"/>
    <x v="2"/>
    <s v="TOTAL CAPITAL"/>
    <s v="D:IXD1X(WC03998)~U$"/>
    <s v="ES0148396007"/>
    <s v="U$"/>
    <n v="16242537"/>
    <n v="23851840"/>
    <n v="22475542"/>
    <n v="20081405"/>
    <n v="22373469"/>
    <x v="86"/>
  </r>
  <r>
    <x v="133"/>
    <x v="2"/>
    <s v="TOTAL DEBT"/>
    <s v="D:IXD1X(WC03255)~U$"/>
    <s v="ES0148396007"/>
    <s v="U$"/>
    <n v="98426"/>
    <n v="8109531"/>
    <n v="7227761"/>
    <n v="5875674"/>
    <n v="5821564"/>
    <x v="87"/>
  </r>
  <r>
    <x v="134"/>
    <x v="2"/>
    <s v="TOTAL INTANGIBLE OT ASSETS-NET"/>
    <s v="D:IXD1X(WC02649)~U$"/>
    <s v="ES0148396007"/>
    <s v="U$"/>
    <n v="1123607"/>
    <n v="731732"/>
    <n v="757049"/>
    <n v="793387"/>
    <n v="1070792"/>
    <x v="88"/>
  </r>
  <r>
    <x v="135"/>
    <x v="2"/>
    <s v="TOTAL LIABILITIES"/>
    <s v="D:IXD1X(WC03351)~U$"/>
    <s v="ES0148396007"/>
    <s v="U$"/>
    <n v="6794726"/>
    <n v="14475714"/>
    <n v="12432030"/>
    <n v="12043226"/>
    <n v="12540972"/>
    <x v="89"/>
  </r>
  <r>
    <x v="136"/>
    <x v="2"/>
    <s v="TOTAL LIABILITIES &amp; SHAREHOLDE"/>
    <s v="D:IXD1X(WC03999)~U$"/>
    <s v="ES0148396007"/>
    <s v="U$"/>
    <n v="23031734"/>
    <n v="32204490"/>
    <n v="29509640"/>
    <n v="27849773"/>
    <n v="30725220"/>
    <x v="85"/>
  </r>
  <r>
    <x v="137"/>
    <x v="2"/>
    <s v="TOTAL SHAREHOLDERS EQUITY"/>
    <s v="D:IXD1X(WC03995)~U$"/>
    <s v="ES0148396007"/>
    <s v="U$"/>
    <n v="16203830"/>
    <n v="17686082"/>
    <n v="17042398"/>
    <n v="15780468"/>
    <n v="18157559"/>
    <x v="52"/>
  </r>
  <r>
    <x v="138"/>
    <x v="2"/>
    <s v="WORKING CAPITAL"/>
    <s v="D:IXD1X(WC03151)~U$"/>
    <s v="ES0148396007"/>
    <s v="U$"/>
    <n v="5791664"/>
    <n v="4871885"/>
    <n v="5421407"/>
    <n v="5588811"/>
    <n v="6941466"/>
    <x v="90"/>
  </r>
  <r>
    <x v="139"/>
    <x v="1"/>
    <s v="BK VAL PS 12M FWD"/>
    <s v="D:IXD1X(DIBV)~U$"/>
    <s v="ES0148396007"/>
    <s v="U$"/>
    <n v="5.67"/>
    <n v="5.77"/>
    <n v="5.95"/>
    <n v="5.28"/>
    <n v="6.37"/>
    <x v="91"/>
  </r>
  <r>
    <x v="140"/>
    <x v="1"/>
    <s v="EV 12M FWD"/>
    <s v="D:IXD1X(DIEV)~U$"/>
    <s v="ES0148396007"/>
    <s v="U$"/>
    <n v="81434282.650000006"/>
    <n v="87427694.180000007"/>
    <n v="102184846.59999999"/>
    <n v="60406632.030000001"/>
    <n v="106396820.8"/>
    <x v="92"/>
  </r>
  <r>
    <x v="141"/>
    <x v="1"/>
    <s v="NET INCOME 12M FWD"/>
    <s v="D:IXD1X(DINI)~U$"/>
    <s v="ES0148396007"/>
    <s v="U$"/>
    <n v="4329982.5199999996"/>
    <n v="3210704.05"/>
    <n v="4572589.1900000004"/>
    <n v="4098767.15"/>
    <n v="5783777.1299999999"/>
    <x v="93"/>
  </r>
  <r>
    <x v="142"/>
    <x v="1"/>
    <s v="PRETAX PRF 12M FWD"/>
    <s v="D:IXD1X(DINP)~U$"/>
    <s v="ES0148396007"/>
    <s v="U$"/>
    <n v="5581959.5199999996"/>
    <n v="4167187.49"/>
    <n v="5932213.3799999999"/>
    <n v="5308130.9400000004"/>
    <n v="7497224.8600000003"/>
    <x v="94"/>
  </r>
  <r>
    <x v="143"/>
    <x v="1"/>
    <s v="ROE 12M FWD"/>
    <s v="D:IXD1X(DIRE)~U$"/>
    <s v="ES0148396007"/>
    <s v="U$"/>
    <n v="28.35"/>
    <n v="20.99"/>
    <n v="29.03"/>
    <n v="24.52"/>
    <n v="32.159999999999997"/>
    <x v="95"/>
  </r>
  <r>
    <x v="144"/>
    <x v="1"/>
    <s v="SALES 12M FWD"/>
    <s v="D:IXD1X(DISL)~U$"/>
    <s v="ES0148396007"/>
    <s v="U$"/>
    <n v="32152786.84"/>
    <n v="29694553.600000001"/>
    <n v="33586387.719999999"/>
    <n v="32160033.850000001"/>
    <n v="40305407.719999999"/>
    <x v="96"/>
  </r>
  <r>
    <x v="145"/>
    <x v="2"/>
    <s v="DECREASE/INCREASE RECEIVABLES"/>
    <s v="D:IXD1X(WC04825)~U$"/>
    <s v="ES0148396007"/>
    <s v="U$"/>
    <n v="-157040"/>
    <n v="-11860"/>
    <n v="39906"/>
    <n v="-154465"/>
    <n v="-61920"/>
    <x v="97"/>
  </r>
  <r>
    <x v="146"/>
    <x v="2"/>
    <s v="DECREASE/INCREASE INVENTORIES"/>
    <s v="D:IXD1X(WC04826)~U$"/>
    <s v="ES0148396007"/>
    <s v="U$"/>
    <n v="-77414"/>
    <n v="238376"/>
    <n v="109156"/>
    <n v="-761290"/>
    <n v="-206045"/>
    <x v="98"/>
  </r>
  <r>
    <x v="147"/>
    <x v="2"/>
    <s v="DECREASE IN INVESTMENTS"/>
    <s v="D:IXD1X(WC04440)~U$"/>
    <s v="ES0148396007"/>
    <s v="U$"/>
    <n v="74096"/>
    <n v="157731"/>
    <n v="3752379"/>
    <n v="79238"/>
    <n v="86475"/>
    <x v="99"/>
  </r>
  <r>
    <x v="148"/>
    <x v="1"/>
    <s v="MARKET VALUE"/>
    <s v="D:IXD1(MV)~U$"/>
    <s v="ES0148396007"/>
    <s v="U$"/>
    <n v="92062.45"/>
    <n v="91776.42"/>
    <n v="115229.12"/>
    <n v="68960.62"/>
    <n v="118751.36"/>
    <x v="100"/>
  </r>
  <r>
    <x v="149"/>
    <x v="1"/>
    <s v="PER"/>
    <s v="D:IXD1(PE)"/>
    <s v="ES0148396007"/>
    <s v="E"/>
    <n v="23.2"/>
    <n v="40.799999999999997"/>
    <n v="38.1"/>
    <n v="18.2"/>
    <n v="22.9"/>
    <x v="101"/>
  </r>
  <r>
    <x v="150"/>
    <x v="1"/>
    <s v="12MTH FORWARD EPS"/>
    <s v="D:IXD1(EPS1FD12)~U$"/>
    <s v="ES0148396007"/>
    <s v="U$"/>
    <n v="1.39"/>
    <n v="1.032"/>
    <n v="1.4750000000000001"/>
    <n v="1.3169999999999999"/>
    <n v="1.865"/>
    <x v="27"/>
  </r>
  <r>
    <x v="151"/>
    <x v="1"/>
    <e v="#VALUE!"/>
    <s v="529E(D:IXD1)"/>
    <s v="ES0148396007"/>
    <s v="E"/>
    <n v="4.7889999999999997"/>
    <n v="3.6429999999999998"/>
    <n v="4.1639999999999997"/>
    <n v="5.9829999999999997"/>
    <n v="4.88"/>
    <x v="28"/>
  </r>
  <r>
    <x v="151"/>
    <x v="1"/>
    <e v="#VALUE!"/>
    <s v="384E(D:IXD1)"/>
    <s v="ES0148396007"/>
    <s v="NA"/>
    <n v="14.698"/>
    <n v="21.385000000000002"/>
    <n v="19.209"/>
    <n v="12.446999999999999"/>
    <n v="15.398999999999999"/>
    <x v="29"/>
  </r>
  <r>
    <x v="151"/>
    <x v="1"/>
    <e v="#VALUE!"/>
    <s v="380E(D:IXD1)"/>
    <s v="ES0148396007"/>
    <s v="NA"/>
    <n v="9.3529999999999998"/>
    <n v="12.18"/>
    <n v="12.531000000000001"/>
    <n v="8.0169999999999995"/>
    <n v="10.603999999999999"/>
    <x v="30"/>
  </r>
  <r>
    <x v="151"/>
    <x v="1"/>
    <e v="#VALUE!"/>
    <s v="157E(D:IXD1)"/>
    <s v="ES0148396007"/>
    <s v="E"/>
    <n v="4.2930000000000001"/>
    <n v="4.3630000000000004"/>
    <n v="4.8780000000000001"/>
    <n v="6.452"/>
    <n v="5.3049999999999997"/>
    <x v="102"/>
  </r>
  <r>
    <x v="151"/>
    <x v="1"/>
    <e v="#VALUE!"/>
    <s v="388E(D:IXD1)"/>
    <s v="ES0148396007"/>
    <s v="NA"/>
    <n v="2.6240000000000001"/>
    <n v="3.044"/>
    <n v="3.4049999999999998"/>
    <n v="2.0720000000000001"/>
    <n v="2.8159999999999998"/>
    <x v="32"/>
  </r>
  <r>
    <x v="151"/>
    <x v="1"/>
    <e v="#VALUE!"/>
    <s v="334E(D:IXD1)"/>
    <s v="ES0148396007"/>
    <s v="E"/>
    <n v="-0.93300000000000005"/>
    <n v="-1.085"/>
    <n v="-1.032"/>
    <n v="-1.123"/>
    <n v="-1.113"/>
    <x v="33"/>
  </r>
  <r>
    <x v="151"/>
    <x v="1"/>
    <e v="#VALUE!"/>
    <s v="338E(D:IXD1)"/>
    <s v="ES0148396007"/>
    <s v="E"/>
    <n v="-0.10299999999999999"/>
    <n v="-9.1999999999999998E-2"/>
    <n v="-9.1999999999999998E-2"/>
    <n v="-0.155"/>
    <n v="-0.112"/>
    <x v="34"/>
  </r>
  <r>
    <x v="151"/>
    <x v="1"/>
    <e v="#VALUE!"/>
    <s v="251E(D:IXD1)"/>
    <s v="ES0148396007"/>
    <s v="E"/>
    <n v="1.65"/>
    <n v="1.61"/>
    <n v="1.62"/>
    <n v="1.68"/>
    <n v="1.85"/>
    <x v="35"/>
  </r>
  <r>
    <x v="151"/>
    <x v="1"/>
    <e v="#VALUE!"/>
    <s v="250E(D:IXD1)"/>
    <s v="ES0148396007"/>
    <s v="E"/>
    <n v="1"/>
    <n v="1"/>
    <n v="1"/>
    <n v="1"/>
    <n v="1"/>
    <x v="36"/>
  </r>
  <r>
    <x v="151"/>
    <x v="1"/>
    <e v="#VALUE!"/>
    <s v="553E(D:IXD1)"/>
    <s v="ES0148396007"/>
    <s v="E"/>
    <n v="5.2119999999999997"/>
    <n v="5.1059999999999999"/>
    <n v="6.2169999999999996"/>
    <n v="4.194"/>
    <n v="5.9820000000000002"/>
    <x v="103"/>
  </r>
  <r>
    <x v="152"/>
    <x v="1"/>
    <s v="12MTH TRAILING EPS"/>
    <s v="D:IXD1(EPS1TR12)~U$"/>
    <s v="ES0148396007"/>
    <s v="U$"/>
    <n v="1.292"/>
    <n v="0.86599999999999999"/>
    <n v="1.0409999999999999"/>
    <n v="1.1910000000000001"/>
    <n v="1.6539999999999999"/>
    <x v="38"/>
  </r>
  <r>
    <x v="153"/>
    <x v="1"/>
    <s v="DIV.PER SHR."/>
    <s v="D:IXD1(DPS)~U$"/>
    <s v="ES0148396007"/>
    <s v="U$"/>
    <n v="1.02"/>
    <n v="0.42"/>
    <n v="0.62"/>
    <n v="0.53"/>
    <n v="1.19"/>
    <x v="39"/>
  </r>
  <r>
    <x v="151"/>
    <x v="1"/>
    <e v="#VALUE!"/>
    <s v="354E(D:IXD1)"/>
    <s v="ES0148396007"/>
    <s v="E"/>
    <n v="4.056"/>
    <n v="3.3639999999999999"/>
    <n v="3.468"/>
    <n v="5.33"/>
    <n v="4.1719999999999997"/>
    <x v="40"/>
  </r>
  <r>
    <x v="150"/>
    <x v="1"/>
    <s v="12MTH FORWARD EPS"/>
    <s v="D:IXD1(EPS1FD12)~U$"/>
    <s v="ES0148396007"/>
    <s v="U$"/>
    <n v="1.39"/>
    <n v="1.032"/>
    <n v="1.4750000000000001"/>
    <n v="1.3169999999999999"/>
    <n v="1.865"/>
    <x v="27"/>
  </r>
  <r>
    <x v="149"/>
    <x v="1"/>
    <s v="PER"/>
    <s v="D:IXD1(PE)"/>
    <s v="ES0148396007"/>
    <s v="E"/>
    <n v="23.2"/>
    <n v="40.799999999999997"/>
    <n v="38.1"/>
    <n v="18.2"/>
    <n v="22.9"/>
    <x v="101"/>
  </r>
  <r>
    <x v="148"/>
    <x v="1"/>
    <s v="MARKET VALUE"/>
    <s v="D:IXD1(MV)~U$"/>
    <s v="ES0148396007"/>
    <s v="U$"/>
    <n v="92062.45"/>
    <n v="91776.42"/>
    <n v="115229.12"/>
    <n v="68960.62"/>
    <n v="118751.36"/>
    <x v="100"/>
  </r>
  <r>
    <x v="154"/>
    <x v="1"/>
    <s v="EARNINGS PER SHR"/>
    <s v="D:IXD1(EPS)~U$"/>
    <s v="ES0148396007"/>
    <s v="U$"/>
    <n v="1.27"/>
    <n v="0.72"/>
    <n v="0.97"/>
    <n v="1.21"/>
    <n v="1.66"/>
    <x v="41"/>
  </r>
  <r>
    <x v="151"/>
    <x v="1"/>
    <e v="#VALUE!"/>
    <s v="897E(D:IXD1)"/>
    <s v="ES0148396007"/>
    <s v="NA"/>
    <n v="0.77"/>
    <n v="0.87"/>
    <n v="0.87"/>
    <n v="0.9"/>
    <n v="0.88"/>
    <x v="104"/>
  </r>
  <r>
    <x v="151"/>
    <x v="1"/>
    <e v="#VALUE!"/>
    <s v="400E(D:IXD1)"/>
    <s v="ES0148396007"/>
    <s v="NA"/>
    <n v="0.18579999999999999"/>
    <n v="0.29270000000000002"/>
    <n v="0.31019999999999998"/>
    <n v="0.3352"/>
    <n v="0.33679999999999999"/>
    <x v="105"/>
  </r>
  <r>
    <x v="82"/>
    <x v="2"/>
    <s v="ACCOUNTS PAYABLE"/>
    <s v="D:IXD1(WC03040)~U$"/>
    <s v="ES0148396007"/>
    <s v="U$"/>
    <n v="4141642"/>
    <n v="4726013"/>
    <n v="4032898"/>
    <n v="4649987"/>
    <n v="4851126"/>
    <x v="44"/>
  </r>
  <r>
    <x v="83"/>
    <x v="2"/>
    <s v="AMORTIZATION OF DEFERRED CHARG"/>
    <s v="D:IXD1(WC01150)~U$"/>
    <s v="ES0148396007"/>
    <s v="U$"/>
    <n v="0"/>
    <n v="0"/>
    <n v="0"/>
    <n v="0"/>
    <n v="0"/>
    <x v="14"/>
  </r>
  <r>
    <x v="84"/>
    <x v="2"/>
    <s v="AMORTIZATION-INTANGIBLE ASSETS"/>
    <s v="D:IXD1(WC04050)~U$"/>
    <s v="ES0148396007"/>
    <s v="U$"/>
    <s v="NA"/>
    <s v="NA"/>
    <n v="214791"/>
    <n v="356071"/>
    <n v="345899"/>
    <x v="45"/>
  </r>
  <r>
    <x v="85"/>
    <x v="2"/>
    <s v="AMORTIZATION OF INTANGIBLES"/>
    <s v="D:IXD1(WC01149)~U$"/>
    <s v="ES0148396007"/>
    <s v="U$"/>
    <n v="174734"/>
    <n v="188566"/>
    <n v="214791"/>
    <n v="356071"/>
    <n v="345899"/>
    <x v="45"/>
  </r>
  <r>
    <x v="86"/>
    <x v="2"/>
    <s v="BOOK VALUE-OUT SHARES-FISCAL"/>
    <s v="D:IXD1(WC05491)~U$"/>
    <s v="ES0148396007"/>
    <s v="U$"/>
    <n v="5.2039999999999997"/>
    <n v="5.6790000000000003"/>
    <n v="5.4710000000000001"/>
    <n v="5.07"/>
    <n v="5.835"/>
    <x v="46"/>
  </r>
  <r>
    <x v="87"/>
    <x v="2"/>
    <s v="BOOK VALUE PER SHARE"/>
    <s v="D:IXD1(WC05476)~U$"/>
    <s v="ES0148396007"/>
    <s v="U$"/>
    <n v="5.2039999999999997"/>
    <n v="5.6790000000000003"/>
    <n v="5.4710000000000001"/>
    <n v="5.07"/>
    <n v="5.835"/>
    <x v="46"/>
  </r>
  <r>
    <x v="88"/>
    <x v="2"/>
    <s v="CAPITAL EXPENDITURES"/>
    <s v="D:IXD1(WC04601)~U$"/>
    <s v="ES0148396007"/>
    <s v="U$"/>
    <n v="1538324"/>
    <n v="1083959"/>
    <n v="548127"/>
    <n v="668009"/>
    <n v="1096414"/>
    <x v="47"/>
  </r>
  <r>
    <x v="89"/>
    <x v="2"/>
    <s v="CASH"/>
    <s v="D:IXD1(WC02003)~U$"/>
    <s v="ES0148396007"/>
    <s v="U$"/>
    <n v="5381370"/>
    <n v="5668844"/>
    <n v="8683172"/>
    <n v="7042183"/>
    <n v="5936864"/>
    <x v="48"/>
  </r>
  <r>
    <x v="90"/>
    <x v="2"/>
    <s v="CASH - GENERIC"/>
    <s v="D:IXD1(WC02005)~U$"/>
    <s v="ES0148396007"/>
    <s v="U$"/>
    <n v="7536794"/>
    <n v="9621618"/>
    <n v="8892094"/>
    <n v="9445412"/>
    <n v="10773044"/>
    <x v="49"/>
  </r>
  <r>
    <x v="91"/>
    <x v="2"/>
    <s v="CASH &amp; SHORT TERM INVESTMENTS"/>
    <s v="D:IXD1(WC02001)~U$"/>
    <s v="ES0148396007"/>
    <s v="U$"/>
    <n v="7536794"/>
    <n v="9621618"/>
    <n v="8892094"/>
    <n v="9445412"/>
    <n v="10773044"/>
    <x v="49"/>
  </r>
  <r>
    <x v="92"/>
    <x v="2"/>
    <s v="CASH DIVIDENDS PAID - TOTAL"/>
    <s v="D:IXD1(WC04551)~U$"/>
    <s v="ES0148396007"/>
    <s v="U$"/>
    <n v="2582306"/>
    <n v="3250691"/>
    <n v="1279354"/>
    <n v="2198613"/>
    <n v="3110955"/>
    <x v="50"/>
  </r>
  <r>
    <x v="93"/>
    <x v="2"/>
    <s v="CASH FLOW PER SHARE"/>
    <s v="D:IXD1(WC05501)~U$"/>
    <s v="ES0148396007"/>
    <s v="U$"/>
    <n v="1.5549999999999999"/>
    <n v="2.5489999999999999"/>
    <n v="1.456"/>
    <n v="2.1040000000000001"/>
    <n v="2.5190000000000001"/>
    <x v="51"/>
  </r>
  <r>
    <x v="94"/>
    <x v="2"/>
    <s v="CASH FLOW PER SHARE - FIS YR"/>
    <s v="D:IXD1(WC05502)~U$"/>
    <s v="ES0148396007"/>
    <s v="U$"/>
    <n v="1.5549999999999999"/>
    <n v="2.5489999999999999"/>
    <n v="1.456"/>
    <n v="2.1040000000000001"/>
    <n v="2.5190000000000001"/>
    <x v="51"/>
  </r>
  <r>
    <x v="95"/>
    <x v="2"/>
    <s v="COMMON DIVIDENDS (CASH)"/>
    <s v="D:IXD1(WC05376)~U$"/>
    <s v="ES0148396007"/>
    <s v="U$"/>
    <n v="2582306"/>
    <n v="3250691"/>
    <n v="1279354"/>
    <n v="2198613"/>
    <n v="3110955"/>
    <x v="50"/>
  </r>
  <r>
    <x v="96"/>
    <x v="2"/>
    <s v="COMMON SHAREHOLDERS' EQUITY"/>
    <s v="D:IXD1(WC03501)~U$"/>
    <s v="ES0148396007"/>
    <s v="U$"/>
    <n v="16203830"/>
    <n v="17686082"/>
    <n v="17042398"/>
    <n v="15780468"/>
    <n v="18157559"/>
    <x v="52"/>
  </r>
  <r>
    <x v="97"/>
    <x v="2"/>
    <s v="COMMON STOCK"/>
    <s v="D:IXD1(WC03480)~U$"/>
    <s v="ES0148396007"/>
    <s v="U$"/>
    <n v="103956"/>
    <n v="111479"/>
    <n v="110330"/>
    <n v="94284"/>
    <n v="100353"/>
    <x v="53"/>
  </r>
  <r>
    <x v="98"/>
    <x v="2"/>
    <s v="COST OF GOODS SOLD (EXCL DEP)"/>
    <s v="D:IXD1(WC01051)~U$"/>
    <s v="ES0148396007"/>
    <s v="U$"/>
    <n v="21944622"/>
    <n v="23128410"/>
    <n v="17596393"/>
    <n v="19689225"/>
    <n v="24264170"/>
    <x v="54"/>
  </r>
  <r>
    <x v="99"/>
    <x v="2"/>
    <s v="CURRENT ASSETS - TOTAL"/>
    <s v="D:IXD1(WC02201)~U$"/>
    <s v="ES0148396007"/>
    <s v="U$"/>
    <n v="11744791"/>
    <n v="13536441"/>
    <n v="12860438"/>
    <n v="13643038"/>
    <n v="15628440"/>
    <x v="55"/>
  </r>
  <r>
    <x v="100"/>
    <x v="2"/>
    <s v="CURRENT LIABILITIES-TOTAL"/>
    <s v="D:IXD1(WC03101)~U$"/>
    <s v="ES0148396007"/>
    <s v="U$"/>
    <n v="5953127"/>
    <n v="8664555"/>
    <n v="7439030"/>
    <n v="8054227"/>
    <n v="8686974"/>
    <x v="56"/>
  </r>
  <r>
    <x v="101"/>
    <x v="2"/>
    <s v="DEFERRED TAXES"/>
    <s v="D:IXD1(WC03263)~U$"/>
    <s v="ES0148396007"/>
    <s v="U$"/>
    <n v="-603828"/>
    <n v="-1027033"/>
    <n v="-1032873"/>
    <n v="-822474"/>
    <n v="-873288"/>
    <x v="57"/>
  </r>
  <r>
    <x v="102"/>
    <x v="2"/>
    <s v="DEPRECIATION AND DEPLETION"/>
    <s v="D:IXD1(WC04049)~U$"/>
    <s v="ES0148396007"/>
    <s v="U$"/>
    <n v="1216504"/>
    <n v="3351497"/>
    <n v="3009415"/>
    <n v="2500522"/>
    <n v="2617729"/>
    <x v="58"/>
  </r>
  <r>
    <x v="103"/>
    <x v="2"/>
    <s v="DEPRECIATION/DEPLETION/AMORT"/>
    <s v="D:IXD1(WC01151)~U$"/>
    <s v="ES0148396007"/>
    <s v="U$"/>
    <n v="1333730"/>
    <n v="3349125"/>
    <n v="3224206"/>
    <n v="2856593"/>
    <n v="2963628"/>
    <x v="59"/>
  </r>
  <r>
    <x v="104"/>
    <x v="2"/>
    <s v="DIVIDENDS PER SHARE"/>
    <s v="D:IXD1(WC05101)~U$"/>
    <s v="ES0148396007"/>
    <s v="U$"/>
    <n v="0.97299999999999998"/>
    <n v="0.41499999999999998"/>
    <n v="0.82199999999999995"/>
    <n v="0.93300000000000005"/>
    <n v="1.2809999999999999"/>
    <x v="60"/>
  </r>
  <r>
    <x v="105"/>
    <x v="2"/>
    <s v="DIVIDENDS PER SHARE - FISCAL"/>
    <s v="D:IXD1(WC05110)~U$"/>
    <s v="ES0148396007"/>
    <s v="U$"/>
    <n v="0.97299999999999998"/>
    <n v="0.41499999999999998"/>
    <n v="0.82199999999999995"/>
    <n v="0.93300000000000005"/>
    <n v="1.2809999999999999"/>
    <x v="60"/>
  </r>
  <r>
    <x v="106"/>
    <x v="2"/>
    <s v="EARNINGS BEF INTEREST &amp; TAXES"/>
    <s v="D:IXD1(WC18191)~U$"/>
    <s v="ES0148396007"/>
    <s v="U$"/>
    <n v="4853850"/>
    <n v="5664100"/>
    <n v="1755883"/>
    <n v="4266835"/>
    <n v="5817294"/>
    <x v="61"/>
  </r>
  <r>
    <x v="107"/>
    <x v="2"/>
    <s v="EBIT &amp; DEPRECIATION"/>
    <s v="D:IXD1(WC18198)~U$"/>
    <s v="ES0148396007"/>
    <s v="U$"/>
    <n v="6187580"/>
    <n v="9013225"/>
    <n v="4980089"/>
    <n v="7123427"/>
    <n v="8780922"/>
    <x v="62"/>
  </r>
  <r>
    <x v="108"/>
    <x v="2"/>
    <s v="EARNINGS PER SHARE"/>
    <s v="D:IXD1(WC05201)~U$"/>
    <s v="ES0148396007"/>
    <s v="U$"/>
    <n v="1.2230000000000001"/>
    <n v="1.3859999999999999"/>
    <n v="0.41699999999999998"/>
    <n v="1.0449999999999999"/>
    <n v="1.417"/>
    <x v="63"/>
  </r>
  <r>
    <x v="109"/>
    <x v="2"/>
    <s v="FISCAL EPS-FULLY DILUTED-YR"/>
    <s v="D:IXD1(WC10030)~U$"/>
    <s v="ES0148396007"/>
    <s v="U$"/>
    <n v="1.2230000000000001"/>
    <n v="1.3859999999999999"/>
    <n v="0.41699999999999998"/>
    <n v="1.0449999999999999"/>
    <n v="1.417"/>
    <x v="63"/>
  </r>
  <r>
    <x v="110"/>
    <x v="2"/>
    <s v="ENTERPRISE VALUE"/>
    <s v="D:IXD1(WC18100)~U$"/>
    <s v="ES0148396007"/>
    <s v="U$"/>
    <n v="76443592"/>
    <n v="110707513"/>
    <n v="87907470"/>
    <n v="79933705"/>
    <n v="90151950"/>
    <x v="64"/>
  </r>
  <r>
    <x v="111"/>
    <x v="2"/>
    <s v="GROSS INCOME"/>
    <s v="D:IXD1(WC01100)~U$"/>
    <s v="ES0148396007"/>
    <s v="U$"/>
    <n v="5635730"/>
    <n v="7068266"/>
    <n v="3125613"/>
    <n v="5253804"/>
    <n v="7542518"/>
    <x v="65"/>
  </r>
  <r>
    <x v="112"/>
    <x v="2"/>
    <s v="INCOME TAXES"/>
    <s v="D:IXD1(WC01451)~U$"/>
    <s v="ES0148396007"/>
    <s v="U$"/>
    <n v="1083794"/>
    <n v="1226273"/>
    <n v="348595"/>
    <n v="951863"/>
    <n v="1292851"/>
    <x v="66"/>
  </r>
  <r>
    <x v="113"/>
    <x v="2"/>
    <s v="INCREASE/DECREASE IN CASH/SHOR"/>
    <s v="D:IXD1(WC04851)~U$"/>
    <s v="ES0148396007"/>
    <s v="U$"/>
    <n v="-71884"/>
    <n v="-101992"/>
    <n v="3072796"/>
    <n v="-378137"/>
    <n v="-1559748"/>
    <x v="67"/>
  </r>
  <r>
    <x v="114"/>
    <x v="2"/>
    <s v="INTEREST EXPENSE ON DEBT"/>
    <s v="D:IXD1(WC01251)~U$"/>
    <s v="ES0148396007"/>
    <s v="U$"/>
    <n v="16589"/>
    <n v="185008"/>
    <n v="150236"/>
    <n v="113341"/>
    <n v="153733"/>
    <x v="68"/>
  </r>
  <r>
    <x v="115"/>
    <x v="2"/>
    <s v="TOTAL INVENTORIES"/>
    <s v="D:IXD1(WC02101)~U$"/>
    <s v="ES0148396007"/>
    <s v="U$"/>
    <n v="3003658"/>
    <n v="2690922"/>
    <n v="2724201"/>
    <n v="3051178"/>
    <n v="3406677"/>
    <x v="69"/>
  </r>
  <r>
    <x v="116"/>
    <x v="2"/>
    <s v="LONG TERM DEBT"/>
    <s v="D:IXD1(WC03251)~U$"/>
    <s v="ES0148396007"/>
    <s v="U$"/>
    <n v="5530"/>
    <n v="6123063"/>
    <n v="5397933"/>
    <n v="4274859"/>
    <n v="4189220"/>
    <x v="70"/>
  </r>
  <r>
    <x v="117"/>
    <x v="2"/>
    <s v="MARKET CAPITALIZATION"/>
    <s v="D:IXD1(WC08001)~U$"/>
    <s v="ES0148396007"/>
    <s v="U$"/>
    <n v="83848782"/>
    <n v="112176906"/>
    <n v="89536592"/>
    <n v="83477364"/>
    <n v="95076740"/>
    <x v="71"/>
  </r>
  <r>
    <x v="118"/>
    <x v="2"/>
    <s v="NET CASH FLOW - FINANCING"/>
    <s v="D:IXD1(WC04890)~U$"/>
    <s v="ES0148396007"/>
    <s v="U$"/>
    <n v="-2499362"/>
    <n v="-5489766"/>
    <n v="-3269981"/>
    <n v="-3920794"/>
    <n v="-4925857"/>
    <x v="72"/>
  </r>
  <r>
    <x v="119"/>
    <x v="2"/>
    <s v="NET CASH FLOW - INVESTING"/>
    <s v="D:IXD1(WC04870)~U$"/>
    <s v="ES0148396007"/>
    <s v="U$"/>
    <n v="2073586"/>
    <n v="2819005"/>
    <n v="-2950729"/>
    <n v="3262815"/>
    <n v="3740833"/>
    <x v="73"/>
  </r>
  <r>
    <x v="120"/>
    <x v="2"/>
    <s v="NET CASH FLOW-OPERATING ACTIVS"/>
    <s v="D:IXD1(WC04860)~U$"/>
    <s v="ES0148396007"/>
    <s v="U$"/>
    <n v="4455721"/>
    <n v="8183060"/>
    <n v="3541110"/>
    <n v="6774377"/>
    <n v="7125091"/>
    <x v="74"/>
  </r>
  <r>
    <x v="121"/>
    <x v="2"/>
    <s v="NET DEBT"/>
    <s v="D:IXD1(WC18199)~U$"/>
    <s v="ES0148396007"/>
    <s v="U$"/>
    <n v="-7438367"/>
    <n v="-1512087"/>
    <n v="-1664333"/>
    <n v="-3569738"/>
    <n v="-4951479"/>
    <x v="75"/>
  </r>
  <r>
    <x v="122"/>
    <x v="2"/>
    <s v="NET INCOME - DILUTED"/>
    <s v="D:IXD1(WC01705)~U$"/>
    <s v="ES0148396007"/>
    <s v="U$"/>
    <n v="3808763"/>
    <n v="4315674"/>
    <n v="1298133"/>
    <n v="3252784"/>
    <n v="4409144"/>
    <x v="76"/>
  </r>
  <r>
    <x v="123"/>
    <x v="2"/>
    <s v="NET SALES OR REVENUES"/>
    <s v="D:IXD1(WC01001)~U$"/>
    <s v="ES0148396007"/>
    <s v="U$"/>
    <n v="28914082"/>
    <n v="33545800"/>
    <n v="23946212"/>
    <n v="27799622"/>
    <n v="34770316"/>
    <x v="77"/>
  </r>
  <r>
    <x v="124"/>
    <x v="2"/>
    <s v="NON-OPERATING INTEREST INCOME"/>
    <s v="D:IXD1(WC01266)~U$"/>
    <s v="ES0148396007"/>
    <s v="U$"/>
    <n v="32071"/>
    <n v="36764"/>
    <n v="7042"/>
    <n v="5015"/>
    <n v="50177"/>
    <x v="78"/>
  </r>
  <r>
    <x v="125"/>
    <x v="2"/>
    <s v="OPERATING EXPENSES - TOTAL"/>
    <s v="D:IXD1(WC01249)~U$"/>
    <s v="ES0148396007"/>
    <s v="U$"/>
    <n v="24216166"/>
    <n v="27553192"/>
    <n v="21550652"/>
    <n v="23443518"/>
    <n v="28802492"/>
    <x v="79"/>
  </r>
  <r>
    <x v="126"/>
    <x v="2"/>
    <s v="OPERATING INCOME"/>
    <s v="D:IXD1(WC01250)~U$"/>
    <s v="ES0148396007"/>
    <s v="U$"/>
    <n v="4697916"/>
    <n v="5992609"/>
    <n v="2395560"/>
    <n v="4356103"/>
    <n v="5967824"/>
    <x v="80"/>
  </r>
  <r>
    <x v="127"/>
    <x v="2"/>
    <s v="PRETAX INCOME"/>
    <s v="D:IXD1(WC01401)~U$"/>
    <s v="ES0148396007"/>
    <s v="U$"/>
    <n v="4837261"/>
    <n v="5479092"/>
    <n v="1605647"/>
    <n v="4153494"/>
    <n v="5663561"/>
    <x v="81"/>
  </r>
  <r>
    <x v="128"/>
    <x v="2"/>
    <s v="PROPERTY, PLANT &amp; EQUIP - NET"/>
    <s v="D:IXD1(WC02501)~U$"/>
    <s v="ES0148396007"/>
    <s v="U$"/>
    <n v="9222204"/>
    <n v="17075318"/>
    <n v="15115151"/>
    <n v="12743332"/>
    <n v="13345934"/>
    <x v="82"/>
  </r>
  <r>
    <x v="129"/>
    <x v="2"/>
    <s v="RECEIVABLES(NET)"/>
    <s v="D:IXD1(WC02051)~U$"/>
    <s v="ES0148396007"/>
    <s v="U$"/>
    <n v="1026287"/>
    <n v="1131397"/>
    <n v="1140855"/>
    <n v="1064201"/>
    <n v="1162605"/>
    <x v="83"/>
  </r>
  <r>
    <x v="130"/>
    <x v="2"/>
    <s v="SHORT TERM DEBT &amp; CURRENT PORT"/>
    <s v="D:IXD1(WC03051)~U$"/>
    <s v="ES0148396007"/>
    <s v="U$"/>
    <n v="92897"/>
    <n v="1986467"/>
    <n v="1829828"/>
    <n v="1600815"/>
    <n v="1632344"/>
    <x v="84"/>
  </r>
  <r>
    <x v="131"/>
    <x v="2"/>
    <s v="TOTAL ASSETS"/>
    <s v="D:IXD1(WC02999)~U$"/>
    <s v="ES0148396007"/>
    <s v="U$"/>
    <n v="23031734"/>
    <n v="32204490"/>
    <n v="29509640"/>
    <n v="27849773"/>
    <n v="30725220"/>
    <x v="85"/>
  </r>
  <r>
    <x v="132"/>
    <x v="2"/>
    <s v="TOTAL CAPITAL"/>
    <s v="D:IXD1(WC03998)~U$"/>
    <s v="ES0148396007"/>
    <s v="U$"/>
    <n v="16242537"/>
    <n v="23851840"/>
    <n v="22475542"/>
    <n v="20081405"/>
    <n v="22373469"/>
    <x v="86"/>
  </r>
  <r>
    <x v="133"/>
    <x v="2"/>
    <s v="TOTAL DEBT"/>
    <s v="D:IXD1(WC03255)~U$"/>
    <s v="ES0148396007"/>
    <s v="U$"/>
    <n v="98426"/>
    <n v="8109531"/>
    <n v="7227761"/>
    <n v="5875674"/>
    <n v="5821564"/>
    <x v="87"/>
  </r>
  <r>
    <x v="134"/>
    <x v="2"/>
    <s v="TOTAL INTANGIBLE OT ASSETS-NET"/>
    <s v="D:IXD1(WC02649)~U$"/>
    <s v="ES0148396007"/>
    <s v="U$"/>
    <n v="1123607"/>
    <n v="731732"/>
    <n v="757049"/>
    <n v="793387"/>
    <n v="1070792"/>
    <x v="88"/>
  </r>
  <r>
    <x v="135"/>
    <x v="2"/>
    <s v="TOTAL LIABILITIES"/>
    <s v="D:IXD1(WC03351)~U$"/>
    <s v="ES0148396007"/>
    <s v="U$"/>
    <n v="6794726"/>
    <n v="14475714"/>
    <n v="12432030"/>
    <n v="12043226"/>
    <n v="12540972"/>
    <x v="89"/>
  </r>
  <r>
    <x v="136"/>
    <x v="2"/>
    <s v="TOTAL LIABILITIES &amp; SHAREHOLDE"/>
    <s v="D:IXD1(WC03999)~U$"/>
    <s v="ES0148396007"/>
    <s v="U$"/>
    <n v="23031734"/>
    <n v="32204490"/>
    <n v="29509640"/>
    <n v="27849773"/>
    <n v="30725220"/>
    <x v="85"/>
  </r>
  <r>
    <x v="137"/>
    <x v="2"/>
    <s v="TOTAL SHAREHOLDERS EQUITY"/>
    <s v="D:IXD1(WC03995)~U$"/>
    <s v="ES0148396007"/>
    <s v="U$"/>
    <n v="16203830"/>
    <n v="17686082"/>
    <n v="17042398"/>
    <n v="15780468"/>
    <n v="18157559"/>
    <x v="52"/>
  </r>
  <r>
    <x v="138"/>
    <x v="2"/>
    <s v="WORKING CAPITAL"/>
    <s v="D:IXD1(WC03151)~U$"/>
    <s v="ES0148396007"/>
    <s v="U$"/>
    <n v="5791664"/>
    <n v="4871885"/>
    <n v="5421407"/>
    <n v="5588811"/>
    <n v="6941466"/>
    <x v="90"/>
  </r>
  <r>
    <x v="155"/>
    <x v="1"/>
    <s v="BK VAL PS 12M FWD"/>
    <s v="D:IXD1(DIBV)~U$"/>
    <s v="ES0148396007"/>
    <s v="U$"/>
    <n v="5.67"/>
    <n v="5.77"/>
    <n v="5.95"/>
    <n v="5.28"/>
    <n v="6.37"/>
    <x v="91"/>
  </r>
  <r>
    <x v="156"/>
    <x v="1"/>
    <s v="EV 12M FWD"/>
    <s v="D:IXD1(DIEV)~U$"/>
    <s v="ES0148396007"/>
    <s v="U$"/>
    <n v="81434282.650000006"/>
    <n v="87427694.180000007"/>
    <n v="102184846.59999999"/>
    <n v="60406632.030000001"/>
    <n v="106396820.8"/>
    <x v="92"/>
  </r>
  <r>
    <x v="157"/>
    <x v="1"/>
    <s v="NET INCOME 12M FWD"/>
    <s v="D:IXD1(DINI)~U$"/>
    <s v="ES0148396007"/>
    <s v="U$"/>
    <n v="4329982.5199999996"/>
    <n v="3210704.05"/>
    <n v="4572589.1900000004"/>
    <n v="4098767.15"/>
    <n v="5783777.1299999999"/>
    <x v="93"/>
  </r>
  <r>
    <x v="158"/>
    <x v="1"/>
    <s v="PRETAX PRF 12M FWD"/>
    <s v="D:IXD1(DINP)~U$"/>
    <s v="ES0148396007"/>
    <s v="U$"/>
    <n v="5581959.5199999996"/>
    <n v="4167187.49"/>
    <n v="5932213.3799999999"/>
    <n v="5308130.9400000004"/>
    <n v="7497224.8600000003"/>
    <x v="94"/>
  </r>
  <r>
    <x v="159"/>
    <x v="1"/>
    <s v="ROE 12M FWD"/>
    <s v="D:IXD1(DIRE)~U$"/>
    <s v="ES0148396007"/>
    <s v="U$"/>
    <n v="28.35"/>
    <n v="20.99"/>
    <n v="29.03"/>
    <n v="24.52"/>
    <n v="32.159999999999997"/>
    <x v="95"/>
  </r>
  <r>
    <x v="160"/>
    <x v="1"/>
    <s v="SALES 12M FWD"/>
    <s v="D:IXD1(DISL)~U$"/>
    <s v="ES0148396007"/>
    <s v="U$"/>
    <n v="32152786.84"/>
    <n v="29694553.600000001"/>
    <n v="33586387.719999999"/>
    <n v="32160033.850000001"/>
    <n v="40305407.719999999"/>
    <x v="96"/>
  </r>
  <r>
    <x v="145"/>
    <x v="2"/>
    <s v="DECREASE/INCREASE RECEIVABLES"/>
    <s v="D:IXD1(WC04825)~U$"/>
    <s v="ES0148396007"/>
    <s v="U$"/>
    <n v="-157040"/>
    <n v="-11860"/>
    <n v="39906"/>
    <n v="-154465"/>
    <n v="-61920"/>
    <x v="97"/>
  </r>
  <r>
    <x v="146"/>
    <x v="2"/>
    <s v="DECREASE/INCREASE INVENTORIES"/>
    <s v="D:IXD1(WC04826)~U$"/>
    <s v="ES0148396007"/>
    <s v="U$"/>
    <n v="-77414"/>
    <n v="238376"/>
    <n v="109156"/>
    <n v="-761290"/>
    <n v="-206045"/>
    <x v="98"/>
  </r>
  <r>
    <x v="147"/>
    <x v="2"/>
    <s v="DECREASE IN INVESTMENTS"/>
    <s v="D:IXD1(WC04440)~U$"/>
    <s v="ES0148396007"/>
    <s v="U$"/>
    <n v="74096"/>
    <n v="157731"/>
    <n v="3752379"/>
    <n v="79238"/>
    <n v="86475"/>
    <x v="99"/>
  </r>
  <r>
    <x v="161"/>
    <x v="3"/>
    <s v="MARKET VALUE"/>
    <s v="U:LEVI(MV)~U$"/>
    <s v="US52736R1023"/>
    <s v="U$"/>
    <n v="771.65"/>
    <n v="823.94"/>
    <n v="2432.6999999999998"/>
    <n v="1722.57"/>
    <n v="1325.34"/>
    <x v="106"/>
  </r>
  <r>
    <x v="162"/>
    <x v="3"/>
    <s v="PER"/>
    <s v="U:LEVI(PE)"/>
    <s v="US52736R1023"/>
    <s v="U$"/>
    <n v="18.2"/>
    <s v="NA"/>
    <n v="35.5"/>
    <n v="12.1"/>
    <n v="12.2"/>
    <x v="107"/>
  </r>
  <r>
    <x v="163"/>
    <x v="3"/>
    <s v="12MTH FORWARD EPS"/>
    <s v="U:LEVI(EPS1FD12)~U$"/>
    <s v="US52736R1023"/>
    <s v="U$"/>
    <n v="1.153"/>
    <n v="0.66"/>
    <n v="1.482"/>
    <n v="1.615"/>
    <n v="1.32"/>
    <x v="108"/>
  </r>
  <r>
    <x v="164"/>
    <x v="3"/>
    <e v="#VALUE!"/>
    <s v="529E(U:LEVI)"/>
    <s v="US52736R1023"/>
    <s v="U$"/>
    <n v="7.0919999999999996"/>
    <n v="4.8929999999999998"/>
    <n v="5.617"/>
    <n v="9.3239999999999998"/>
    <n v="9.8209999999999997"/>
    <x v="109"/>
  </r>
  <r>
    <x v="164"/>
    <x v="3"/>
    <e v="#VALUE!"/>
    <s v="384E(U:LEVI)"/>
    <s v="US52736R1023"/>
    <s v="U$"/>
    <n v="10.753"/>
    <n v="12.691000000000001"/>
    <n v="13.237"/>
    <n v="8.9909999999999997"/>
    <n v="8.7040000000000006"/>
    <x v="110"/>
  </r>
  <r>
    <x v="164"/>
    <x v="3"/>
    <e v="#VALUE!"/>
    <s v="380E(U:LEVI)"/>
    <s v="US52736R1023"/>
    <s v="U$"/>
    <n v="8.8409999999999993"/>
    <n v="9.4209999999999994"/>
    <n v="11.148"/>
    <n v="7.3529999999999998"/>
    <n v="6.8819999999999997"/>
    <x v="111"/>
  </r>
  <r>
    <x v="164"/>
    <x v="3"/>
    <e v="#VALUE!"/>
    <s v="157E(U:LEVI)"/>
    <s v="US52736R1023"/>
    <s v="U$"/>
    <s v="NA"/>
    <s v="NA"/>
    <n v="4.0632999999999999"/>
    <n v="53.717399999999998"/>
    <n v="4.6163999999999996"/>
    <x v="112"/>
  </r>
  <r>
    <x v="164"/>
    <x v="3"/>
    <e v="#VALUE!"/>
    <s v="388E(U:LEVI)"/>
    <s v="US52736R1023"/>
    <s v="U$"/>
    <n v="1.1579999999999999"/>
    <n v="0.97799999999999998"/>
    <n v="1.6830000000000001"/>
    <n v="1.1160000000000001"/>
    <n v="0.89900000000000002"/>
    <x v="113"/>
  </r>
  <r>
    <x v="164"/>
    <x v="3"/>
    <e v="#VALUE!"/>
    <s v="334E(U:LEVI)"/>
    <s v="US52736R1023"/>
    <s v="U$"/>
    <n v="-0.10299999999999999"/>
    <n v="0.65600000000000003"/>
    <n v="-0.35299999999999998"/>
    <n v="4.0000000000000001E-3"/>
    <n v="0.751"/>
    <x v="114"/>
  </r>
  <r>
    <x v="164"/>
    <x v="3"/>
    <e v="#VALUE!"/>
    <s v="338E(U:LEVI)"/>
    <s v="US52736R1023"/>
    <s v="U$"/>
    <n v="-1.2E-2"/>
    <n v="6.2E-2"/>
    <n v="-2.9000000000000001E-2"/>
    <n v="1E-3"/>
    <n v="0.11799999999999999"/>
    <x v="115"/>
  </r>
  <r>
    <x v="164"/>
    <x v="3"/>
    <e v="#VALUE!"/>
    <s v="251E(U:LEVI)"/>
    <s v="US52736R1023"/>
    <s v="U$"/>
    <n v="0.84"/>
    <n v="0.91"/>
    <n v="0.82"/>
    <n v="0.63"/>
    <n v="0.54"/>
    <x v="116"/>
  </r>
  <r>
    <x v="164"/>
    <x v="3"/>
    <e v="#VALUE!"/>
    <s v="250E(U:LEVI)"/>
    <s v="US52736R1023"/>
    <s v="U$"/>
    <n v="0.62"/>
    <n v="0.52"/>
    <n v="0.56999999999999995"/>
    <n v="0.46"/>
    <n v="0.47"/>
    <x v="116"/>
  </r>
  <r>
    <x v="164"/>
    <x v="3"/>
    <e v="#VALUE!"/>
    <s v="553E(U:LEVI)"/>
    <s v="US52736R1023"/>
    <s v="U$"/>
    <n v="5.2397999999999998"/>
    <n v="3.6896"/>
    <n v="5.1052"/>
    <n v="3.1446000000000001"/>
    <n v="2.3157999999999999"/>
    <x v="117"/>
  </r>
  <r>
    <x v="165"/>
    <x v="3"/>
    <s v="12MTH TRAILING EPS"/>
    <s v="U:LEVI(EPS1TR12)~U$"/>
    <s v="US52736R1023"/>
    <s v="U$"/>
    <n v="1.07"/>
    <n v="7.0000000000000007E-2"/>
    <n v="1.1519999999999999"/>
    <n v="1.528"/>
    <n v="1.1830000000000001"/>
    <x v="118"/>
  </r>
  <r>
    <x v="166"/>
    <x v="3"/>
    <s v="DIV.PER SHR."/>
    <s v="U:LEVI(DPS)~U$"/>
    <s v="US52736R1023"/>
    <s v="U$"/>
    <n v="0.6"/>
    <n v="0.32"/>
    <n v="0.32"/>
    <n v="0.48"/>
    <n v="0.48"/>
    <x v="119"/>
  </r>
  <r>
    <x v="164"/>
    <x v="3"/>
    <e v="#VALUE!"/>
    <s v="354E(U:LEVI)"/>
    <s v="US52736R1023"/>
    <s v="U$"/>
    <n v="1.6919999999999999"/>
    <n v="1.841"/>
    <n v="1.175"/>
    <n v="2.5499999999999998"/>
    <n v="3.9430000000000001"/>
    <x v="120"/>
  </r>
  <r>
    <x v="163"/>
    <x v="3"/>
    <s v="12MTH FORWARD EPS"/>
    <s v="U:LEVI(EPS1FD12)~U$"/>
    <s v="US52736R1023"/>
    <s v="U$"/>
    <n v="1.153"/>
    <n v="0.66"/>
    <n v="1.482"/>
    <n v="1.615"/>
    <n v="1.32"/>
    <x v="108"/>
  </r>
  <r>
    <x v="162"/>
    <x v="3"/>
    <s v="PER"/>
    <s v="U:LEVI(PE)"/>
    <s v="US52736R1023"/>
    <s v="U$"/>
    <n v="18.2"/>
    <s v="NA"/>
    <n v="35.5"/>
    <n v="12.1"/>
    <n v="12.2"/>
    <x v="107"/>
  </r>
  <r>
    <x v="161"/>
    <x v="3"/>
    <s v="MARKET VALUE"/>
    <s v="U:LEVI(MV)~U$"/>
    <s v="US52736R1023"/>
    <s v="U$"/>
    <n v="771.65"/>
    <n v="823.94"/>
    <n v="2432.6999999999998"/>
    <n v="1722.57"/>
    <n v="1325.34"/>
    <x v="106"/>
  </r>
  <r>
    <x v="167"/>
    <x v="3"/>
    <s v="EARNINGS PER SHR"/>
    <s v="U:LEVI(EPS)~U$"/>
    <s v="US52736R1023"/>
    <s v="U$"/>
    <n v="1.01"/>
    <n v="0"/>
    <n v="0.71"/>
    <n v="1.45"/>
    <n v="1.0900000000000001"/>
    <x v="121"/>
  </r>
  <r>
    <x v="164"/>
    <x v="3"/>
    <e v="#VALUE!"/>
    <s v="897E(U:LEVI)"/>
    <s v="US52736R1023"/>
    <s v="NA"/>
    <n v="1.8752"/>
    <n v="1.1415999999999999"/>
    <n v="1.2576000000000001"/>
    <n v="1.1839"/>
    <n v="1.1791"/>
    <x v="122"/>
  </r>
  <r>
    <x v="164"/>
    <x v="3"/>
    <e v="#VALUE!"/>
    <s v="400E(U:LEVI)"/>
    <s v="US52736R1023"/>
    <s v="NA"/>
    <n v="0.34289999999999998"/>
    <n v="0.46860000000000002"/>
    <n v="0.46439999999999998"/>
    <n v="0.42480000000000001"/>
    <n v="0.40629999999999999"/>
    <x v="123"/>
  </r>
  <r>
    <x v="168"/>
    <x v="3"/>
    <s v="ACCOUNTS PAYABLE"/>
    <s v="U:LEVI(WC03040)~U$"/>
    <s v="US52736R1023"/>
    <s v="U$"/>
    <n v="360324"/>
    <n v="375450"/>
    <n v="524838"/>
    <n v="657200"/>
    <n v="567900"/>
    <x v="18"/>
  </r>
  <r>
    <x v="169"/>
    <x v="3"/>
    <s v="AMORT &amp; IMPAIR OF GOODWILL"/>
    <s v="U:LEVI(WC18224)~U$"/>
    <s v="US52736R1023"/>
    <s v="U$"/>
    <s v="NA"/>
    <s v="NA"/>
    <s v="NA"/>
    <n v="15700"/>
    <n v="75400"/>
    <x v="18"/>
  </r>
  <r>
    <x v="170"/>
    <x v="3"/>
    <s v="AMORTIZATION OF DEFERRED CHARG"/>
    <s v="U:LEVI(WC01150)~U$"/>
    <s v="US52736R1023"/>
    <s v="U$"/>
    <n v="0"/>
    <n v="0"/>
    <n v="0"/>
    <n v="0"/>
    <n v="0"/>
    <x v="18"/>
  </r>
  <r>
    <x v="171"/>
    <x v="3"/>
    <s v="AMORTIZATION-INTANGIBLE ASSETS"/>
    <s v="U:LEVI(WC04050)~U$"/>
    <s v="US52736R1023"/>
    <s v="U$"/>
    <s v="NA"/>
    <s v="NA"/>
    <s v="NA"/>
    <n v="4300"/>
    <n v="4400"/>
    <x v="18"/>
  </r>
  <r>
    <x v="172"/>
    <x v="3"/>
    <s v="AMORTIZATION OF INTANGIBLES"/>
    <s v="U:LEVI(WC01149)~U$"/>
    <s v="US52736R1023"/>
    <s v="U$"/>
    <s v="NA"/>
    <n v="5200"/>
    <n v="1100"/>
    <n v="4300"/>
    <n v="4400"/>
    <x v="18"/>
  </r>
  <r>
    <x v="173"/>
    <x v="3"/>
    <s v="BOOK VALUE-OUT SHARES-FISCAL"/>
    <s v="U:LEVI(WC05491)~U$"/>
    <s v="US52736R1023"/>
    <s v="U$"/>
    <n v="3.9710000000000001"/>
    <n v="3.266"/>
    <n v="4.1660000000000004"/>
    <n v="4.835"/>
    <n v="5.15"/>
    <x v="18"/>
  </r>
  <r>
    <x v="174"/>
    <x v="3"/>
    <s v="BOOK VALUE PER SHARE"/>
    <s v="U:LEVI(WC05476)~U$"/>
    <s v="US52736R1023"/>
    <s v="U$"/>
    <n v="3.9710000000000001"/>
    <n v="3.266"/>
    <n v="4.1660000000000004"/>
    <n v="4.835"/>
    <n v="5.15"/>
    <x v="18"/>
  </r>
  <r>
    <x v="175"/>
    <x v="3"/>
    <s v="CAPITAL EXPENDITURES"/>
    <s v="U:LEVI(WC04601)~U$"/>
    <s v="US52736R1023"/>
    <s v="U$"/>
    <n v="175356"/>
    <n v="130383"/>
    <n v="166944"/>
    <n v="267100"/>
    <n v="315500"/>
    <x v="18"/>
  </r>
  <r>
    <x v="176"/>
    <x v="3"/>
    <s v="CASH"/>
    <s v="U:LEVI(WC02003)~U$"/>
    <s v="US52736R1023"/>
    <s v="U$"/>
    <n v="934237"/>
    <n v="1497155"/>
    <n v="810266"/>
    <n v="429600"/>
    <n v="398800"/>
    <x v="18"/>
  </r>
  <r>
    <x v="177"/>
    <x v="3"/>
    <s v="CASH - GENERIC"/>
    <s v="U:LEVI(WC02005)~U$"/>
    <s v="US52736R1023"/>
    <s v="U$"/>
    <n v="1014978"/>
    <n v="1593686"/>
    <n v="901816"/>
    <n v="500200"/>
    <n v="398800"/>
    <x v="18"/>
  </r>
  <r>
    <x v="178"/>
    <x v="3"/>
    <s v="CASH &amp; SHORT TERM INVESTMENTS"/>
    <s v="U:LEVI(WC02001)~U$"/>
    <s v="US52736R1023"/>
    <s v="U$"/>
    <n v="1014978"/>
    <n v="1593686"/>
    <n v="901816"/>
    <n v="500200"/>
    <n v="398800"/>
    <x v="18"/>
  </r>
  <r>
    <x v="179"/>
    <x v="3"/>
    <s v="CASH DIVIDENDS PAID - TOTAL"/>
    <s v="U:LEVI(WC04551)~U$"/>
    <s v="US52736R1023"/>
    <s v="U$"/>
    <n v="113914"/>
    <n v="63639"/>
    <n v="104431"/>
    <n v="174300"/>
    <n v="190500"/>
    <x v="18"/>
  </r>
  <r>
    <x v="180"/>
    <x v="3"/>
    <s v="CASH FLOW PER SHARE"/>
    <s v="U:LEVI(WC05501)~U$"/>
    <s v="US52736R1023"/>
    <s v="U$"/>
    <n v="1.41"/>
    <n v="0.219"/>
    <n v="1.857"/>
    <n v="1.927"/>
    <n v="1.3540000000000001"/>
    <x v="18"/>
  </r>
  <r>
    <x v="181"/>
    <x v="3"/>
    <s v="CASH FLOW PER SHARE - FIS YR"/>
    <s v="U:LEVI(WC05502)~U$"/>
    <s v="US52736R1023"/>
    <s v="U$"/>
    <n v="1.41"/>
    <n v="0.219"/>
    <n v="1.857"/>
    <n v="1.927"/>
    <n v="1.3540000000000001"/>
    <x v="18"/>
  </r>
  <r>
    <x v="182"/>
    <x v="3"/>
    <s v="COMMON DIVIDENDS (CASH)"/>
    <s v="U:LEVI(WC05376)~U$"/>
    <s v="US52736R1023"/>
    <s v="U$"/>
    <n v="113914"/>
    <n v="63639"/>
    <n v="104431"/>
    <n v="174300"/>
    <n v="190500"/>
    <x v="18"/>
  </r>
  <r>
    <x v="183"/>
    <x v="3"/>
    <s v="COMMON SHAREHOLDERS' EQUITY"/>
    <s v="U:LEVI(WC03501)~U$"/>
    <s v="US52736R1023"/>
    <s v="U$"/>
    <n v="1563531"/>
    <n v="1299475"/>
    <n v="1665661"/>
    <n v="1903700"/>
    <n v="2046400"/>
    <x v="18"/>
  </r>
  <r>
    <x v="184"/>
    <x v="3"/>
    <s v="COMMON STOCK"/>
    <s v="U:LEVI(WC03480)~U$"/>
    <s v="US52736R1023"/>
    <s v="U$"/>
    <n v="394"/>
    <n v="398"/>
    <n v="400"/>
    <n v="400"/>
    <n v="400"/>
    <x v="18"/>
  </r>
  <r>
    <x v="185"/>
    <x v="3"/>
    <s v="COST OF GOODS SOLD (EXCL DEP)"/>
    <s v="U:LEVI(WC01051)~U$"/>
    <s v="US52736R1023"/>
    <s v="U$"/>
    <n v="2537772"/>
    <n v="1957885"/>
    <n v="2274025"/>
    <n v="2460900"/>
    <n v="2498000"/>
    <x v="18"/>
  </r>
  <r>
    <x v="186"/>
    <x v="3"/>
    <s v="CURRENT ASSETS - TOTAL"/>
    <s v="U:LEVI(WC02201)~U$"/>
    <s v="US52736R1023"/>
    <s v="U$"/>
    <n v="2870186"/>
    <n v="3126241"/>
    <n v="2709901"/>
    <n v="2827900"/>
    <n v="2637600"/>
    <x v="18"/>
  </r>
  <r>
    <x v="187"/>
    <x v="3"/>
    <s v="CURRENT LIABILITIES-TOTAL"/>
    <s v="U:LEVI(WC03101)~U$"/>
    <s v="US52736R1023"/>
    <s v="U$"/>
    <n v="1167204"/>
    <n v="1548882"/>
    <n v="1869618"/>
    <n v="1981600"/>
    <n v="1787500"/>
    <x v="18"/>
  </r>
  <r>
    <x v="188"/>
    <x v="3"/>
    <s v="DEFERRED TAXES"/>
    <s v="U:LEVI(WC03263)~U$"/>
    <s v="US52736R1023"/>
    <s v="U$"/>
    <n v="-407905"/>
    <n v="-497556"/>
    <n v="-573114"/>
    <n v="-625000"/>
    <n v="-729500"/>
    <x v="18"/>
  </r>
  <r>
    <x v="189"/>
    <x v="3"/>
    <s v="DEPRECIATION AND DEPLETION"/>
    <s v="U:LEVI(WC04049)~U$"/>
    <s v="US52736R1023"/>
    <s v="U$"/>
    <n v="123942"/>
    <n v="141795"/>
    <n v="143167"/>
    <n v="154600"/>
    <n v="160900"/>
    <x v="18"/>
  </r>
  <r>
    <x v="190"/>
    <x v="3"/>
    <s v="DEPRECIATION/DEPLETION/AMORT"/>
    <s v="U:LEVI(WC01151)~U$"/>
    <s v="US52736R1023"/>
    <s v="U$"/>
    <n v="123942"/>
    <n v="141800"/>
    <n v="143200"/>
    <n v="158900"/>
    <n v="165300"/>
    <x v="18"/>
  </r>
  <r>
    <x v="191"/>
    <x v="3"/>
    <s v="DIVIDENDS PER SHARE"/>
    <s v="U:LEVI(WC05101)~U$"/>
    <s v="US52736R1023"/>
    <s v="U$"/>
    <n v="0.15"/>
    <n v="0.16"/>
    <n v="0.26"/>
    <n v="0.44"/>
    <n v="0.48"/>
    <x v="18"/>
  </r>
  <r>
    <x v="192"/>
    <x v="3"/>
    <s v="DIVIDENDS PER SHARE - FISCAL"/>
    <s v="U:LEVI(WC05110)~U$"/>
    <s v="US52736R1023"/>
    <s v="U$"/>
    <n v="0.15"/>
    <n v="0.16"/>
    <n v="0.26"/>
    <n v="0.44"/>
    <n v="0.48"/>
    <x v="18"/>
  </r>
  <r>
    <x v="193"/>
    <x v="3"/>
    <s v="EARNINGS BEF INTEREST &amp; TAXES"/>
    <s v="U:LEVI(WC18191)~U$"/>
    <s v="US52736R1023"/>
    <s v="U$"/>
    <n v="543832"/>
    <n v="-107593"/>
    <n v="653142"/>
    <n v="675300"/>
    <n v="311100"/>
    <x v="18"/>
  </r>
  <r>
    <x v="194"/>
    <x v="3"/>
    <s v="EBIT &amp; DEPRECIATION"/>
    <s v="U:LEVI(WC18198)~U$"/>
    <s v="US52736R1023"/>
    <s v="U$"/>
    <n v="667774"/>
    <n v="34207"/>
    <n v="796342"/>
    <n v="834200"/>
    <n v="476400"/>
    <x v="18"/>
  </r>
  <r>
    <x v="195"/>
    <x v="3"/>
    <s v="EARNINGS PER SHARE"/>
    <s v="U:LEVI(WC05201)~U$"/>
    <s v="US52736R1023"/>
    <s v="U$"/>
    <n v="0.96599999999999997"/>
    <n v="-0.32"/>
    <n v="1.351"/>
    <n v="1.409"/>
    <n v="0.621"/>
    <x v="18"/>
  </r>
  <r>
    <x v="196"/>
    <x v="3"/>
    <s v="FISCAL EPS-FULLY DILUTED-YR"/>
    <s v="U:LEVI(WC10030)~U$"/>
    <s v="US52736R1023"/>
    <s v="U$"/>
    <n v="0.96599999999999997"/>
    <n v="-0.32"/>
    <n v="1.351"/>
    <n v="1.409"/>
    <n v="0.621"/>
    <x v="18"/>
  </r>
  <r>
    <x v="197"/>
    <x v="3"/>
    <s v="ENTERPRISE VALUE"/>
    <s v="U:LEVI(WC18100)~U$"/>
    <s v="US52736R1023"/>
    <s v="U$"/>
    <n v="6697294"/>
    <n v="7594412"/>
    <n v="10998692"/>
    <n v="6839019"/>
    <n v="6738286"/>
    <x v="18"/>
  </r>
  <r>
    <x v="198"/>
    <x v="3"/>
    <s v="GROSS INCOME"/>
    <s v="U:LEVI(WC01100)~U$"/>
    <s v="US52736R1023"/>
    <s v="U$"/>
    <n v="3101373"/>
    <n v="2352924"/>
    <n v="3346711"/>
    <n v="3548800"/>
    <n v="3515700"/>
    <x v="18"/>
  </r>
  <r>
    <x v="199"/>
    <x v="3"/>
    <s v="IMPAIRMENT OF GOODWILL"/>
    <s v="U:LEVI(WC18225)~U$"/>
    <s v="US52736R1023"/>
    <s v="U$"/>
    <s v="NA"/>
    <s v="NA"/>
    <s v="NA"/>
    <n v="15700"/>
    <n v="75400"/>
    <x v="18"/>
  </r>
  <r>
    <x v="200"/>
    <x v="3"/>
    <s v="IMPAIRMENT- OTHER INTANGIBLES"/>
    <s v="U:LEVI(WC18226)~U$"/>
    <s v="US52736R1023"/>
    <s v="U$"/>
    <s v="NA"/>
    <s v="NA"/>
    <s v="NA"/>
    <s v="NA"/>
    <n v="14800"/>
    <x v="18"/>
  </r>
  <r>
    <x v="201"/>
    <x v="3"/>
    <s v="INCOME TAXES"/>
    <s v="U:LEVI(WC01451)~U$"/>
    <s v="US52736R1023"/>
    <s v="U$"/>
    <n v="82604"/>
    <n v="-62642"/>
    <n v="26699"/>
    <n v="80500"/>
    <n v="15600"/>
    <x v="18"/>
  </r>
  <r>
    <x v="202"/>
    <x v="3"/>
    <s v="INCREASE/DECREASE IN CASH/SHOR"/>
    <s v="U:LEVI(WC04851)~U$"/>
    <s v="US52736R1023"/>
    <s v="U$"/>
    <n v="221055"/>
    <n v="562895"/>
    <n v="-687068"/>
    <n v="-380600"/>
    <n v="-30900"/>
    <x v="18"/>
  </r>
  <r>
    <x v="203"/>
    <x v="3"/>
    <s v="INTEREST EXPENSE ON DEBT"/>
    <s v="U:LEVI(WC01251)~U$"/>
    <s v="US52736R1023"/>
    <s v="U$"/>
    <n v="66248"/>
    <n v="82190"/>
    <n v="72902"/>
    <n v="25700"/>
    <n v="45900"/>
    <x v="18"/>
  </r>
  <r>
    <x v="204"/>
    <x v="3"/>
    <s v="TOTAL INVENTORIES"/>
    <s v="U:LEVI(WC02101)~U$"/>
    <s v="US52736R1023"/>
    <s v="U$"/>
    <n v="884192"/>
    <n v="817692"/>
    <n v="897950"/>
    <n v="1416800"/>
    <n v="1290100"/>
    <x v="18"/>
  </r>
  <r>
    <x v="205"/>
    <x v="3"/>
    <s v="LONG TERM DEBT"/>
    <s v="U:LEVI(WC03251)~U$"/>
    <s v="US52736R1023"/>
    <s v="U$"/>
    <n v="1006745"/>
    <n v="1546700"/>
    <n v="1020700"/>
    <n v="984500"/>
    <n v="1009400"/>
    <x v="18"/>
  </r>
  <r>
    <x v="206"/>
    <x v="3"/>
    <s v="MARKET CAPITALIZATION"/>
    <s v="U:LEVI(WC08001)~U$"/>
    <s v="US52736R1023"/>
    <s v="U$"/>
    <n v="7595514"/>
    <n v="7989835"/>
    <n v="10006429"/>
    <n v="6110717"/>
    <n v="6572136"/>
    <x v="18"/>
  </r>
  <r>
    <x v="207"/>
    <x v="3"/>
    <s v="NET CASH FLOW - FINANCING"/>
    <s v="U:LEVI(WC04890)~U$"/>
    <s v="US52736R1023"/>
    <s v="U$"/>
    <n v="55018"/>
    <n v="285995"/>
    <n v="-840888"/>
    <n v="-365400"/>
    <n v="-214100"/>
    <x v="18"/>
  </r>
  <r>
    <x v="208"/>
    <x v="3"/>
    <s v="NET CASH FLOW - INVESTING"/>
    <s v="U:LEVI(WC04870)~U$"/>
    <s v="US52736R1023"/>
    <s v="U$"/>
    <n v="243343"/>
    <n v="188559"/>
    <n v="571810"/>
    <n v="235700"/>
    <n v="240700"/>
    <x v="18"/>
  </r>
  <r>
    <x v="209"/>
    <x v="3"/>
    <s v="NET CASH FLOW-OPERATING ACTIVS"/>
    <s v="U:LEVI(WC04860)~U$"/>
    <s v="US52736R1023"/>
    <s v="U$"/>
    <n v="412188"/>
    <n v="469586"/>
    <n v="737264"/>
    <n v="228100"/>
    <n v="435500"/>
    <x v="18"/>
  </r>
  <r>
    <x v="210"/>
    <x v="3"/>
    <s v="NET DEBT"/>
    <s v="U:LEVI(WC18199)~U$"/>
    <s v="US52736R1023"/>
    <s v="U$"/>
    <n v="-612"/>
    <n v="-29355"/>
    <n v="124746"/>
    <n v="496000"/>
    <n v="623100"/>
    <x v="18"/>
  </r>
  <r>
    <x v="211"/>
    <x v="3"/>
    <s v="NET INCOME - DILUTED"/>
    <s v="U:LEVI(WC01705)~U$"/>
    <s v="US52736R1023"/>
    <s v="U$"/>
    <n v="394612"/>
    <n v="-127141"/>
    <n v="553541"/>
    <n v="569100"/>
    <n v="249600"/>
    <x v="18"/>
  </r>
  <r>
    <x v="212"/>
    <x v="3"/>
    <s v="NET SALES OR REVENUES"/>
    <s v="U:LEVI(WC01001)~U$"/>
    <s v="US52736R1023"/>
    <s v="U$"/>
    <n v="5763087"/>
    <n v="4452609"/>
    <n v="5763936"/>
    <n v="6168600"/>
    <n v="6179000"/>
    <x v="18"/>
  </r>
  <r>
    <x v="213"/>
    <x v="3"/>
    <s v="NON-OPERATING INTEREST INCOME"/>
    <s v="U:LEVI(WC01266)~U$"/>
    <s v="US52736R1023"/>
    <s v="U$"/>
    <n v="17190"/>
    <n v="8390"/>
    <n v="2542"/>
    <s v="NA"/>
    <s v="NA"/>
    <x v="18"/>
  </r>
  <r>
    <x v="214"/>
    <x v="3"/>
    <s v="OPERATING EXPENSES - TOTAL"/>
    <s v="U:LEVI(WC01249)~U$"/>
    <s v="US52736R1023"/>
    <s v="U$"/>
    <n v="5202712"/>
    <n v="4354513"/>
    <n v="5047838"/>
    <n v="5436600"/>
    <n v="5687600"/>
    <x v="18"/>
  </r>
  <r>
    <x v="215"/>
    <x v="3"/>
    <s v="OPERATING INCOME"/>
    <s v="U:LEVI(WC01250)~U$"/>
    <s v="US52736R1023"/>
    <s v="U$"/>
    <n v="560375"/>
    <n v="98096"/>
    <n v="716098"/>
    <n v="732000"/>
    <n v="491400"/>
    <x v="18"/>
  </r>
  <r>
    <x v="216"/>
    <x v="3"/>
    <s v="PRETAX INCOME"/>
    <s v="U:LEVI(WC01401)~U$"/>
    <s v="US52736R1023"/>
    <s v="U$"/>
    <n v="477584"/>
    <n v="-189783"/>
    <n v="580240"/>
    <n v="649600"/>
    <n v="265200"/>
    <x v="18"/>
  </r>
  <r>
    <x v="217"/>
    <x v="3"/>
    <s v="PROPERTY, PLANT &amp; EQUIP - NET"/>
    <s v="U:LEVI(WC02501)~U$"/>
    <s v="US52736R1023"/>
    <s v="U$"/>
    <n v="529558"/>
    <n v="1443333"/>
    <n v="1606267"/>
    <n v="1592800"/>
    <n v="1714600"/>
    <x v="18"/>
  </r>
  <r>
    <x v="218"/>
    <x v="3"/>
    <s v="RECEIVABLES(NET)"/>
    <s v="U:LEVI(WC02051)~U$"/>
    <s v="US52736R1023"/>
    <s v="U$"/>
    <n v="782846"/>
    <n v="540227"/>
    <n v="707625"/>
    <n v="697000"/>
    <n v="752700"/>
    <x v="18"/>
  </r>
  <r>
    <x v="219"/>
    <x v="3"/>
    <s v="SELLING, GENERAL &amp; ADMINISTRAT"/>
    <s v="U:LEVI(WC01101)~U$"/>
    <s v="US52736R1023"/>
    <s v="U$"/>
    <n v="2540998"/>
    <n v="2254828"/>
    <n v="2630613"/>
    <n v="2816800"/>
    <n v="3024300"/>
    <x v="18"/>
  </r>
  <r>
    <x v="220"/>
    <x v="3"/>
    <s v="SHORT TERM DEBT &amp; CURRENT PORT"/>
    <s v="U:LEVI(WC03051)~U$"/>
    <s v="US52736R1023"/>
    <s v="U$"/>
    <n v="7621"/>
    <n v="17631"/>
    <n v="5862"/>
    <n v="11700"/>
    <n v="12500"/>
    <x v="18"/>
  </r>
  <r>
    <x v="221"/>
    <x v="3"/>
    <s v="TOTAL ASSETS"/>
    <s v="U:LEVI(WC02999)~U$"/>
    <s v="US52736R1023"/>
    <s v="U$"/>
    <n v="3824513"/>
    <n v="5143685"/>
    <n v="5326955"/>
    <n v="5412800"/>
    <n v="5324100"/>
    <x v="18"/>
  </r>
  <r>
    <x v="222"/>
    <x v="3"/>
    <s v="TOTAL CAPITAL"/>
    <s v="U:LEVI(WC03998)~U$"/>
    <s v="US52736R1023"/>
    <s v="U$"/>
    <n v="2578302"/>
    <n v="2846175"/>
    <n v="2686361"/>
    <n v="2888200"/>
    <n v="3055800"/>
    <x v="18"/>
  </r>
  <r>
    <x v="223"/>
    <x v="3"/>
    <s v="TOTAL DEBT"/>
    <s v="U:LEVI(WC03255)~U$"/>
    <s v="US52736R1023"/>
    <s v="U$"/>
    <n v="1014366"/>
    <n v="1564331"/>
    <n v="1026562"/>
    <n v="996200"/>
    <n v="1021900"/>
    <x v="18"/>
  </r>
  <r>
    <x v="224"/>
    <x v="3"/>
    <s v="TOTAL INTANGIBLE OT ASSETS-NET"/>
    <s v="U:LEVI(WC02649)~U$"/>
    <s v="US52736R1023"/>
    <s v="U$"/>
    <n v="278570"/>
    <n v="312194"/>
    <n v="678212"/>
    <n v="652400"/>
    <n v="571300"/>
    <x v="18"/>
  </r>
  <r>
    <x v="225"/>
    <x v="3"/>
    <s v="TOTAL LIABILITIES"/>
    <s v="U:LEVI(WC03351)~U$"/>
    <s v="US52736R1023"/>
    <s v="U$"/>
    <n v="2252956"/>
    <n v="3844210"/>
    <n v="3661294"/>
    <n v="3509100"/>
    <n v="3277700"/>
    <x v="18"/>
  </r>
  <r>
    <x v="226"/>
    <x v="3"/>
    <s v="TOTAL LIABILITIES &amp; SHAREHOLDE"/>
    <s v="U:LEVI(WC03999)~U$"/>
    <s v="US52736R1023"/>
    <s v="U$"/>
    <n v="3824513"/>
    <n v="5143685"/>
    <n v="5326955"/>
    <n v="5412800"/>
    <n v="5324100"/>
    <x v="18"/>
  </r>
  <r>
    <x v="227"/>
    <x v="3"/>
    <s v="TOTAL SHAREHOLDERS EQUITY"/>
    <s v="U:LEVI(WC03995)~U$"/>
    <s v="US52736R1023"/>
    <s v="U$"/>
    <n v="1563531"/>
    <n v="1299475"/>
    <n v="1665661"/>
    <n v="1903700"/>
    <n v="2046400"/>
    <x v="18"/>
  </r>
  <r>
    <x v="228"/>
    <x v="3"/>
    <s v="WORKING CAPITAL"/>
    <s v="U:LEVI(WC03151)~U$"/>
    <s v="US52736R1023"/>
    <s v="U$"/>
    <n v="1702982"/>
    <n v="1577359"/>
    <n v="840283"/>
    <n v="846300"/>
    <n v="850100"/>
    <x v="18"/>
  </r>
  <r>
    <x v="229"/>
    <x v="3"/>
    <s v="BK VAL PS 12M FWD"/>
    <s v="U:LEVI(DIBV)~U$"/>
    <s v="US52736R1023"/>
    <s v="U$"/>
    <n v="3.49"/>
    <n v="3.39"/>
    <n v="4.97"/>
    <n v="5.6"/>
    <n v="5.72"/>
    <x v="124"/>
  </r>
  <r>
    <x v="230"/>
    <x v="3"/>
    <s v="EV 12M FWD"/>
    <s v="U:LEVI(DIEV)~U$"/>
    <s v="US52736R1023"/>
    <s v="U$"/>
    <n v="7249621"/>
    <n v="5571664"/>
    <n v="11243820"/>
    <n v="7898320"/>
    <n v="5442617"/>
    <x v="125"/>
  </r>
  <r>
    <x v="231"/>
    <x v="3"/>
    <s v="NET INCOME 12M FWD"/>
    <s v="U:LEVI(DINI)~U$"/>
    <s v="US52736R1023"/>
    <s v="U$"/>
    <n v="475182.4"/>
    <n v="262131.6"/>
    <n v="604976.6"/>
    <n v="643835.19999999995"/>
    <n v="524218.5"/>
    <x v="126"/>
  </r>
  <r>
    <x v="232"/>
    <x v="3"/>
    <s v="PRETAX PRF 12M FWD"/>
    <s v="U:LEVI(DINP)~U$"/>
    <s v="US52736R1023"/>
    <s v="U$"/>
    <n v="614757.6"/>
    <n v="318396.79999999999"/>
    <n v="722929.9"/>
    <n v="793205.1"/>
    <n v="617956.80000000005"/>
    <x v="127"/>
  </r>
  <r>
    <x v="233"/>
    <x v="3"/>
    <s v="ROE 12M FWD"/>
    <s v="U:LEVI(DIRE)~U$"/>
    <s v="US52736R1023"/>
    <s v="U$"/>
    <n v="32.96"/>
    <n v="19.579999999999998"/>
    <n v="32.17"/>
    <n v="30.21"/>
    <n v="22.92"/>
    <x v="128"/>
  </r>
  <r>
    <x v="234"/>
    <x v="3"/>
    <s v="SALES 12M FWD"/>
    <s v="U:LEVI(DISL)~U$"/>
    <s v="US52736R1023"/>
    <s v="U$"/>
    <n v="6208492"/>
    <n v="5102285"/>
    <n v="6222973"/>
    <n v="6717039"/>
    <n v="6551113"/>
    <x v="129"/>
  </r>
  <r>
    <x v="235"/>
    <x v="3"/>
    <s v="DECREASE/INCREASE RECEIVABLES"/>
    <s v="U:LEVI(WC04825)~U$"/>
    <s v="US52736R1023"/>
    <s v="U$"/>
    <n v="-82344"/>
    <n v="234217"/>
    <n v="-181547"/>
    <s v="NA"/>
    <s v="NA"/>
    <x v="18"/>
  </r>
  <r>
    <x v="236"/>
    <x v="3"/>
    <s v="DECREASE/INCR OTH ASTS/LIABILT"/>
    <s v="U:LEVI(WC04830)~U$"/>
    <s v="US52736R1023"/>
    <s v="U$"/>
    <n v="-31061"/>
    <n v="113967"/>
    <n v="-9709"/>
    <n v="-550300"/>
    <n v="-108500"/>
    <x v="18"/>
  </r>
  <r>
    <x v="237"/>
    <x v="3"/>
    <s v="DECREASE/INCREASE INVENTORIES"/>
    <s v="U:LEVI(WC04826)~U$"/>
    <s v="US52736R1023"/>
    <s v="U$"/>
    <n v="-22434"/>
    <n v="93096"/>
    <n v="-84670"/>
    <s v="NA"/>
    <s v="NA"/>
    <x v="18"/>
  </r>
  <r>
    <x v="238"/>
    <x v="3"/>
    <s v="DECREASE IN INVESTMENTS"/>
    <s v="U:LEVI(WC04440)~U$"/>
    <s v="US52736R1023"/>
    <s v="U$"/>
    <n v="34094"/>
    <n v="93526"/>
    <n v="126929"/>
    <n v="93000"/>
    <n v="70800"/>
    <x v="18"/>
  </r>
  <r>
    <x v="239"/>
    <x v="4"/>
    <s v="MARKET VALUE"/>
    <s v="U:AEO(MV)~U$"/>
    <s v="US02553E1064"/>
    <s v="U$"/>
    <n v="2819.99"/>
    <n v="2431.91"/>
    <n v="4501.53"/>
    <n v="2051.31"/>
    <n v="2859.56"/>
    <x v="130"/>
  </r>
  <r>
    <x v="240"/>
    <x v="4"/>
    <s v="PER"/>
    <s v="U:AEO(PE)"/>
    <s v="US02553E1064"/>
    <s v="U$"/>
    <n v="11"/>
    <s v="NA"/>
    <n v="18.899999999999999"/>
    <n v="11.8"/>
    <n v="14.3"/>
    <x v="131"/>
  </r>
  <r>
    <x v="241"/>
    <x v="4"/>
    <s v="12MTH FORWARD EPS"/>
    <s v="U:AEO(EPS1FD12)~U$"/>
    <s v="US02553E1064"/>
    <s v="U$"/>
    <n v="1.6759999999999999"/>
    <n v="0.65"/>
    <n v="2.34"/>
    <n v="0.86299999999999999"/>
    <n v="1.357"/>
    <x v="132"/>
  </r>
  <r>
    <x v="242"/>
    <x v="5"/>
    <e v="#VALUE!"/>
    <s v="529E(U:AEO)"/>
    <s v="US02553E1064"/>
    <s v="U$"/>
    <n v="11.135"/>
    <n v="4.2240000000000002"/>
    <n v="8.9039999999999999"/>
    <n v="8.0009999999999994"/>
    <n v="9.1050000000000004"/>
    <x v="133"/>
  </r>
  <r>
    <x v="242"/>
    <x v="5"/>
    <e v="#VALUE!"/>
    <s v="384E(U:AEO)"/>
    <s v="US02553E1064"/>
    <s v="U$"/>
    <n v="6.4480000000000004"/>
    <n v="11.917"/>
    <n v="6.843"/>
    <n v="9.1460000000000008"/>
    <n v="6.85"/>
    <x v="134"/>
  </r>
  <r>
    <x v="242"/>
    <x v="5"/>
    <e v="#VALUE!"/>
    <s v="380E(U:AEO)"/>
    <s v="US02553E1064"/>
    <s v="U$"/>
    <n v="4.34"/>
    <n v="5.6950000000000003"/>
    <n v="5.4370000000000003"/>
    <n v="4.9710000000000001"/>
    <n v="4.1429999999999998"/>
    <x v="135"/>
  </r>
  <r>
    <x v="242"/>
    <x v="5"/>
    <e v="#VALUE!"/>
    <s v="157E(U:AEO)"/>
    <s v="US02553E1064"/>
    <s v="U$"/>
    <n v="12.1929"/>
    <n v="0.81969999999999998"/>
    <n v="9.6629000000000005"/>
    <n v="4.7183999999999999"/>
    <n v="20.6492"/>
    <x v="136"/>
  </r>
  <r>
    <x v="242"/>
    <x v="5"/>
    <e v="#VALUE!"/>
    <s v="388E(U:AEO)"/>
    <s v="US02553E1064"/>
    <s v="U$"/>
    <n v="0.54600000000000004"/>
    <n v="0.46200000000000002"/>
    <n v="0.85"/>
    <n v="0.42399999999999999"/>
    <n v="0.46400000000000002"/>
    <x v="137"/>
  </r>
  <r>
    <x v="242"/>
    <x v="5"/>
    <e v="#VALUE!"/>
    <s v="334E(U:AEO)"/>
    <s v="US02553E1064"/>
    <s v="U$"/>
    <n v="-0.997"/>
    <n v="-2.1269999999999998"/>
    <n v="-1.401"/>
    <n v="-0.75800000000000001"/>
    <n v="-1.2629999999999999"/>
    <x v="138"/>
  </r>
  <r>
    <x v="242"/>
    <x v="5"/>
    <e v="#VALUE!"/>
    <s v="338E(U:AEO)"/>
    <s v="US02553E1064"/>
    <s v="U$"/>
    <n v="-0.22700000000000001"/>
    <n v="-0.38100000000000001"/>
    <n v="-0.22700000000000001"/>
    <n v="-0.128"/>
    <n v="-0.25800000000000001"/>
    <x v="139"/>
  </r>
  <r>
    <x v="242"/>
    <x v="5"/>
    <e v="#VALUE!"/>
    <s v="251E(U:AEO)"/>
    <s v="US02553E1064"/>
    <s v="U$"/>
    <n v="0.53"/>
    <n v="1.06"/>
    <n v="0.52"/>
    <n v="0.74"/>
    <n v="0.59"/>
    <x v="140"/>
  </r>
  <r>
    <x v="242"/>
    <x v="5"/>
    <e v="#VALUE!"/>
    <s v="250E(U:AEO)"/>
    <s v="US02553E1064"/>
    <s v="U$"/>
    <n v="0.33"/>
    <n v="0.63"/>
    <n v="0.36"/>
    <n v="0.44"/>
    <n v="0.38"/>
    <x v="121"/>
  </r>
  <r>
    <x v="242"/>
    <x v="5"/>
    <e v="#VALUE!"/>
    <s v="553E(U:AEO)"/>
    <s v="US02553E1064"/>
    <s v="U$"/>
    <n v="1.7779"/>
    <n v="2.242"/>
    <n v="3.1423999999999999"/>
    <n v="1.4483999999999999"/>
    <n v="1.3918999999999999"/>
    <x v="141"/>
  </r>
  <r>
    <x v="243"/>
    <x v="4"/>
    <s v="12MTH TRAILING EPS"/>
    <s v="U:AEO(EPS1TR12)~U$"/>
    <s v="US02553E1064"/>
    <s v="U$"/>
    <n v="1.55"/>
    <n v="0.32700000000000001"/>
    <n v="1.4930000000000001"/>
    <n v="1.177"/>
    <n v="1.1970000000000001"/>
    <x v="142"/>
  </r>
  <r>
    <x v="244"/>
    <x v="4"/>
    <s v="DIV.PER SHR."/>
    <s v="U:AEO(DPS)~U$"/>
    <s v="US02553E1064"/>
    <s v="U$"/>
    <n v="0.55000000000000004"/>
    <n v="0"/>
    <n v="0.72"/>
    <n v="0"/>
    <n v="0.4"/>
    <x v="140"/>
  </r>
  <r>
    <x v="242"/>
    <x v="5"/>
    <e v="#VALUE!"/>
    <s v="354E(U:AEO)"/>
    <s v="US02553E1064"/>
    <s v="U$"/>
    <n v="3.8370000000000002"/>
    <n v="2.1880000000000002"/>
    <n v="2.3719999999999999"/>
    <n v="4.7270000000000003"/>
    <n v="2.8639999999999999"/>
    <x v="143"/>
  </r>
  <r>
    <x v="241"/>
    <x v="4"/>
    <s v="12MTH FORWARD EPS"/>
    <s v="U:AEO(EPS1FD12)~U$"/>
    <s v="US02553E1064"/>
    <s v="U$"/>
    <n v="1.6759999999999999"/>
    <n v="0.65"/>
    <n v="2.34"/>
    <n v="0.86299999999999999"/>
    <n v="1.357"/>
    <x v="132"/>
  </r>
  <r>
    <x v="240"/>
    <x v="4"/>
    <s v="PER"/>
    <s v="U:AEO(PE)"/>
    <s v="US02553E1064"/>
    <s v="U$"/>
    <n v="11"/>
    <s v="NA"/>
    <n v="18.899999999999999"/>
    <n v="11.8"/>
    <n v="14.3"/>
    <x v="131"/>
  </r>
  <r>
    <x v="239"/>
    <x v="4"/>
    <s v="MARKET VALUE"/>
    <s v="U:AEO(MV)~U$"/>
    <s v="US02553E1064"/>
    <s v="U$"/>
    <n v="2819.99"/>
    <n v="2431.91"/>
    <n v="4501.53"/>
    <n v="2051.31"/>
    <n v="2859.56"/>
    <x v="130"/>
  </r>
  <r>
    <x v="245"/>
    <x v="4"/>
    <s v="EARNINGS PER SHR"/>
    <s v="U:AEO(EPS)~U$"/>
    <s v="US02553E1064"/>
    <s v="U$"/>
    <n v="1.52"/>
    <n v="0"/>
    <n v="1.41"/>
    <n v="0.93"/>
    <n v="1.01"/>
    <x v="144"/>
  </r>
  <r>
    <x v="242"/>
    <x v="5"/>
    <e v="#VALUE!"/>
    <s v="897E(U:AEO)"/>
    <s v="US02553E1064"/>
    <s v="NA"/>
    <n v="1.1577999999999999"/>
    <n v="1.5417000000000001"/>
    <n v="1.5643"/>
    <n v="1.6218999999999999"/>
    <n v="1.5732999999999999"/>
    <x v="145"/>
  </r>
  <r>
    <x v="242"/>
    <x v="5"/>
    <e v="#VALUE!"/>
    <s v="400E(U:AEO)"/>
    <s v="US02553E1064"/>
    <s v="NA"/>
    <n v="0.32100000000000001"/>
    <n v="0.46250000000000002"/>
    <n v="0.47399999999999998"/>
    <n v="0.49859999999999999"/>
    <n v="0.51100000000000001"/>
    <x v="146"/>
  </r>
  <r>
    <x v="246"/>
    <x v="6"/>
    <s v="ACCOUNTS PAYABLE"/>
    <s v="U:AEO(WC03040)~U$"/>
    <s v="US02553E1064"/>
    <s v="U$"/>
    <n v="285746"/>
    <n v="255912"/>
    <n v="231782"/>
    <n v="234340"/>
    <n v="268308"/>
    <x v="18"/>
  </r>
  <r>
    <x v="247"/>
    <x v="6"/>
    <s v="AMORT &amp; IMPAIR OF GOODWILL"/>
    <s v="U:AEO(WC18224)~U$"/>
    <s v="US02553E1064"/>
    <s v="U$"/>
    <s v="NA"/>
    <s v="NA"/>
    <s v="NA"/>
    <s v="NA"/>
    <n v="39600"/>
    <x v="18"/>
  </r>
  <r>
    <x v="248"/>
    <x v="6"/>
    <s v="AMORTIZATION OF DEFERRED CHARG"/>
    <s v="U:AEO(WC01150)~U$"/>
    <s v="US02553E1064"/>
    <s v="U$"/>
    <n v="0"/>
    <n v="2415"/>
    <n v="3191"/>
    <n v="0"/>
    <n v="0"/>
    <x v="18"/>
  </r>
  <r>
    <x v="249"/>
    <x v="6"/>
    <s v="AMORTIZATION-INTANGIBLE ASSETS"/>
    <s v="U:AEO(WC04050)~U$"/>
    <s v="US02553E1064"/>
    <s v="U$"/>
    <s v="NA"/>
    <n v="6167"/>
    <n v="9659"/>
    <s v="NA"/>
    <s v="NA"/>
    <x v="18"/>
  </r>
  <r>
    <x v="250"/>
    <x v="6"/>
    <s v="AMORTIZATION OF INTANGIBLES"/>
    <s v="U:AEO(WC01149)~U$"/>
    <s v="US02553E1064"/>
    <s v="U$"/>
    <n v="4184"/>
    <n v="3752"/>
    <n v="6468"/>
    <n v="9162"/>
    <n v="8748"/>
    <x v="18"/>
  </r>
  <r>
    <x v="251"/>
    <x v="6"/>
    <s v="BOOK VALUE-OUT SHARES-FISCAL"/>
    <s v="U:AEO(WC05491)~U$"/>
    <s v="US02553E1064"/>
    <s v="U$"/>
    <n v="7.4720000000000004"/>
    <n v="6.5330000000000004"/>
    <n v="8.3810000000000002"/>
    <n v="6.9459999999999997"/>
    <n v="8.8190000000000008"/>
    <x v="18"/>
  </r>
  <r>
    <x v="252"/>
    <x v="6"/>
    <s v="BOOK VALUE PER SHARE"/>
    <s v="U:AEO(WC05476)~U$"/>
    <s v="US02553E1064"/>
    <s v="U$"/>
    <n v="7.4720000000000004"/>
    <n v="6.5330000000000004"/>
    <n v="8.3810000000000002"/>
    <n v="6.9459999999999997"/>
    <n v="8.8190000000000008"/>
    <x v="18"/>
  </r>
  <r>
    <x v="253"/>
    <x v="6"/>
    <s v="CAPITAL EXPENDITURES"/>
    <s v="U:AEO(WC04601)~U$"/>
    <s v="US02553E1064"/>
    <s v="U$"/>
    <n v="210360"/>
    <n v="127975"/>
    <n v="233847"/>
    <n v="260378"/>
    <n v="174437"/>
    <x v="18"/>
  </r>
  <r>
    <x v="254"/>
    <x v="6"/>
    <s v="CASH"/>
    <s v="U:AEO(WC02003)~U$"/>
    <s v="US02553E1064"/>
    <s v="U$"/>
    <n v="126087"/>
    <n v="524970"/>
    <n v="138758"/>
    <n v="84960"/>
    <n v="162279"/>
    <x v="18"/>
  </r>
  <r>
    <x v="255"/>
    <x v="6"/>
    <s v="CASH - GENERIC"/>
    <s v="U:AEO(WC02005)~U$"/>
    <s v="US02553E1064"/>
    <s v="U$"/>
    <n v="416930"/>
    <n v="850477"/>
    <n v="434770"/>
    <n v="170209"/>
    <n v="454094"/>
    <x v="18"/>
  </r>
  <r>
    <x v="256"/>
    <x v="6"/>
    <s v="CASH &amp; SHORT TERM INVESTMENTS"/>
    <s v="U:AEO(WC02001)~U$"/>
    <s v="US02553E1064"/>
    <s v="U$"/>
    <n v="416930"/>
    <n v="850477"/>
    <n v="434770"/>
    <n v="170209"/>
    <n v="454094"/>
    <x v="18"/>
  </r>
  <r>
    <x v="257"/>
    <x v="6"/>
    <s v="CASH DIVIDENDS PAID - TOTAL"/>
    <s v="U:AEO(WC04551)~U$"/>
    <s v="US02553E1064"/>
    <s v="U$"/>
    <n v="92783"/>
    <n v="22854"/>
    <n v="113945"/>
    <n v="64767"/>
    <n v="83825"/>
    <x v="18"/>
  </r>
  <r>
    <x v="258"/>
    <x v="6"/>
    <s v="CASH FLOW PER SHARE"/>
    <s v="U:AEO(WC05501)~U$"/>
    <s v="US02553E1064"/>
    <s v="U$"/>
    <n v="2.73"/>
    <n v="1.222"/>
    <n v="3.0409999999999999"/>
    <n v="2.3809999999999998"/>
    <n v="2.6880000000000002"/>
    <x v="18"/>
  </r>
  <r>
    <x v="259"/>
    <x v="6"/>
    <s v="CASH FLOW PER SHARE - FIS YR"/>
    <s v="U:AEO(WC05502)~U$"/>
    <s v="US02553E1064"/>
    <s v="U$"/>
    <n v="2.742"/>
    <n v="1.222"/>
    <n v="3.0409999999999999"/>
    <n v="2.3809999999999998"/>
    <n v="2.6880000000000002"/>
    <x v="18"/>
  </r>
  <r>
    <x v="260"/>
    <x v="6"/>
    <s v="COMMON DIVIDENDS (CASH)"/>
    <s v="U:AEO(WC05376)~U$"/>
    <s v="US02553E1064"/>
    <s v="U$"/>
    <n v="92783"/>
    <n v="22854"/>
    <n v="113945"/>
    <n v="64767"/>
    <n v="83825"/>
    <x v="18"/>
  </r>
  <r>
    <x v="261"/>
    <x v="6"/>
    <s v="COMMON SHAREHOLDERS' EQUITY"/>
    <s v="U:AEO(WC03501)~U$"/>
    <s v="US02553E1064"/>
    <s v="U$"/>
    <n v="1247853"/>
    <n v="1086665"/>
    <n v="1413796"/>
    <n v="1354965"/>
    <n v="1736759"/>
    <x v="18"/>
  </r>
  <r>
    <x v="262"/>
    <x v="6"/>
    <s v="COMMON STOCK"/>
    <s v="U:AEO(WC03480)~U$"/>
    <s v="US02553E1064"/>
    <s v="U$"/>
    <n v="2496"/>
    <n v="2496"/>
    <n v="2496"/>
    <n v="2496"/>
    <n v="2496"/>
    <x v="18"/>
  </r>
  <r>
    <x v="263"/>
    <x v="6"/>
    <s v="COST OF GOODS SOLD (EXCL DEP)"/>
    <s v="U:AEO(WC01051)~U$"/>
    <s v="US02553E1064"/>
    <s v="U$"/>
    <n v="2782739"/>
    <n v="2607788"/>
    <n v="3014625"/>
    <n v="3238706"/>
    <n v="3228077"/>
    <x v="18"/>
  </r>
  <r>
    <x v="264"/>
    <x v="6"/>
    <s v="CURRENT ASSETS - TOTAL"/>
    <s v="U:AEO(WC02201)~U$"/>
    <s v="US02553E1064"/>
    <s v="U$"/>
    <n v="1047930"/>
    <n v="1522643"/>
    <n v="1396924"/>
    <n v="1100241"/>
    <n v="1433350"/>
    <x v="18"/>
  </r>
  <r>
    <x v="265"/>
    <x v="6"/>
    <s v="CURRENT LIABILITIES-TOTAL"/>
    <s v="U:AEO(WC03101)~U$"/>
    <s v="US02553E1064"/>
    <s v="U$"/>
    <n v="751756"/>
    <n v="858482"/>
    <n v="842871"/>
    <n v="768948"/>
    <n v="891172"/>
    <x v="18"/>
  </r>
  <r>
    <x v="266"/>
    <x v="6"/>
    <s v="DEFERRED TAXES"/>
    <s v="U:AEO(WC03263)~U$"/>
    <s v="US02553E1064"/>
    <s v="U$"/>
    <n v="-22724"/>
    <n v="-33045"/>
    <n v="-44167"/>
    <n v="-36483"/>
    <n v="-82064"/>
    <x v="18"/>
  </r>
  <r>
    <x v="267"/>
    <x v="6"/>
    <s v="DEPRECIATION AND DEPLETION"/>
    <s v="U:AEO(WC04049)~U$"/>
    <s v="US02553E1064"/>
    <s v="U$"/>
    <n v="181379"/>
    <n v="159413"/>
    <n v="161492"/>
    <n v="212499"/>
    <n v="235213"/>
    <x v="18"/>
  </r>
  <r>
    <x v="268"/>
    <x v="6"/>
    <s v="DEPRECIATION/DEPLETION/AMORT"/>
    <s v="U:AEO(WC01151)~U$"/>
    <s v="US02553E1064"/>
    <s v="U$"/>
    <n v="182222"/>
    <n v="165580"/>
    <n v="171151"/>
    <n v="212776"/>
    <n v="235981"/>
    <x v="18"/>
  </r>
  <r>
    <x v="269"/>
    <x v="6"/>
    <s v="DIVIDENDS PER SHARE"/>
    <s v="U:AEO(WC05101)~U$"/>
    <s v="US02553E1064"/>
    <s v="U$"/>
    <n v="0.55000000000000004"/>
    <n v="0.13700000000000001"/>
    <n v="0.67700000000000005"/>
    <n v="0.36"/>
    <n v="0.42499999999999999"/>
    <x v="18"/>
  </r>
  <r>
    <x v="270"/>
    <x v="6"/>
    <s v="DIVIDENDS PER SHARE - FISCAL"/>
    <s v="U:AEO(WC05110)~U$"/>
    <s v="US02553E1064"/>
    <s v="U$"/>
    <n v="0.55000000000000004"/>
    <n v="0.13700000000000001"/>
    <n v="0.67700000000000005"/>
    <n v="0.36"/>
    <n v="0.42499999999999999"/>
    <x v="18"/>
  </r>
  <r>
    <x v="271"/>
    <x v="6"/>
    <s v="EARNINGS BEF INTEREST &amp; TAXES"/>
    <s v="U:AEO(WC18191)~U$"/>
    <s v="US02553E1064"/>
    <s v="U$"/>
    <n v="245278"/>
    <n v="-243289"/>
    <n v="627505"/>
    <n v="200600"/>
    <n v="239938"/>
    <x v="18"/>
  </r>
  <r>
    <x v="272"/>
    <x v="6"/>
    <s v="EBIT &amp; DEPRECIATION"/>
    <s v="U:AEO(WC18198)~U$"/>
    <s v="US02553E1064"/>
    <s v="U$"/>
    <n v="427500"/>
    <n v="-77709"/>
    <n v="798656"/>
    <n v="413376"/>
    <n v="475919"/>
    <x v="18"/>
  </r>
  <r>
    <x v="273"/>
    <x v="6"/>
    <s v="EARNINGS PER SHARE"/>
    <s v="U:AEO(WC05201)~U$"/>
    <s v="US02553E1064"/>
    <s v="U$"/>
    <n v="1.1140000000000001"/>
    <n v="-1.2569999999999999"/>
    <n v="2.032"/>
    <n v="0.61"/>
    <n v="0.86399999999999999"/>
    <x v="18"/>
  </r>
  <r>
    <x v="274"/>
    <x v="6"/>
    <s v="FISCAL EPS-FULLY DILUTED-YR"/>
    <s v="U:AEO(WC10030)~U$"/>
    <s v="US02553E1064"/>
    <s v="U$"/>
    <n v="1.119"/>
    <n v="-1.2569999999999999"/>
    <n v="2.032"/>
    <n v="0.61"/>
    <n v="0.86399999999999999"/>
    <x v="18"/>
  </r>
  <r>
    <x v="275"/>
    <x v="6"/>
    <s v="ENTERPRISE VALUE"/>
    <s v="U:AEO(WC18100)~U$"/>
    <s v="US02553E1064"/>
    <s v="U$"/>
    <n v="1987769"/>
    <n v="3248954"/>
    <n v="3694966"/>
    <n v="3137602"/>
    <n v="3643967"/>
    <x v="18"/>
  </r>
  <r>
    <x v="276"/>
    <x v="6"/>
    <s v="GROSS INCOME"/>
    <s v="U:AEO(WC01100)~U$"/>
    <s v="US02553E1064"/>
    <s v="U$"/>
    <n v="1343251"/>
    <n v="985745"/>
    <n v="1825009"/>
    <n v="1538351"/>
    <n v="1797712"/>
    <x v="18"/>
  </r>
  <r>
    <x v="277"/>
    <x v="6"/>
    <s v="IMPAIRMENT OF GOODWILL"/>
    <s v="U:AEO(WC18225)~U$"/>
    <s v="US02553E1064"/>
    <s v="U$"/>
    <s v="NA"/>
    <s v="NA"/>
    <s v="NA"/>
    <s v="NA"/>
    <n v="39600"/>
    <x v="18"/>
  </r>
  <r>
    <x v="278"/>
    <x v="6"/>
    <s v="IMPAIRMENT- OTHER INTANGIBLES"/>
    <s v="U:AEO(WC18226)~U$"/>
    <s v="US02553E1064"/>
    <s v="U$"/>
    <s v="NA"/>
    <s v="NA"/>
    <s v="NA"/>
    <s v="NA"/>
    <n v="40500"/>
    <x v="18"/>
  </r>
  <r>
    <x v="279"/>
    <x v="6"/>
    <s v="INCOME TAXES"/>
    <s v="U:AEO(WC01451)~U$"/>
    <s v="US02553E1064"/>
    <s v="U$"/>
    <n v="54021"/>
    <n v="-82999"/>
    <n v="139293"/>
    <n v="53358"/>
    <n v="69820"/>
    <x v="18"/>
  </r>
  <r>
    <x v="280"/>
    <x v="6"/>
    <s v="INCREASE/DECREASE IN CASH/SHOR"/>
    <s v="U:AEO(WC04851)~U$"/>
    <s v="US02553E1064"/>
    <s v="U$"/>
    <n v="28600"/>
    <n v="488547"/>
    <n v="-415707"/>
    <n v="-264561"/>
    <n v="183885"/>
    <x v="18"/>
  </r>
  <r>
    <x v="281"/>
    <x v="6"/>
    <s v="INTEREST EXPENSE ON DEBT"/>
    <s v="U:AEO(WC01251)~U$"/>
    <s v="US02553E1064"/>
    <s v="U$"/>
    <n v="0"/>
    <n v="48984"/>
    <n v="68583"/>
    <n v="22106"/>
    <n v="80"/>
    <x v="18"/>
  </r>
  <r>
    <x v="282"/>
    <x v="6"/>
    <s v="TOTAL INVENTORIES"/>
    <s v="U:AEO(WC02101)~U$"/>
    <s v="US02553E1064"/>
    <s v="U$"/>
    <n v="446278"/>
    <n v="405445"/>
    <n v="553458"/>
    <n v="585083"/>
    <n v="640662"/>
    <x v="18"/>
  </r>
  <r>
    <x v="283"/>
    <x v="6"/>
    <s v="LONG TERM DEBT"/>
    <s v="U:AEO(WC03251)~U$"/>
    <s v="US02553E1064"/>
    <s v="U$"/>
    <n v="0"/>
    <n v="325290"/>
    <n v="350878"/>
    <n v="253109"/>
    <n v="0"/>
    <x v="18"/>
  </r>
  <r>
    <x v="284"/>
    <x v="6"/>
    <s v="MARKET CAPITALIZATION"/>
    <s v="U:AEO(WC08001)~U$"/>
    <s v="US02553E1064"/>
    <s v="U$"/>
    <n v="2454797"/>
    <n v="3338343"/>
    <n v="4271459"/>
    <n v="2723093"/>
    <n v="4167166"/>
    <x v="18"/>
  </r>
  <r>
    <x v="285"/>
    <x v="6"/>
    <s v="NET CASH FLOW - FINANCING"/>
    <s v="U:AEO(WC04890)~U$"/>
    <s v="US02553E1064"/>
    <s v="U$"/>
    <n v="-211226"/>
    <n v="359907"/>
    <n v="-125197"/>
    <n v="-407893"/>
    <n v="-109474"/>
    <x v="18"/>
  </r>
  <r>
    <x v="286"/>
    <x v="6"/>
    <s v="NET CASH FLOW - INVESTING"/>
    <s v="U:AEO(WC04870)~U$"/>
    <s v="US02553E1064"/>
    <s v="U$"/>
    <n v="174894"/>
    <n v="73945"/>
    <n v="594601"/>
    <n v="261375"/>
    <n v="287432"/>
    <x v="18"/>
  </r>
  <r>
    <x v="287"/>
    <x v="6"/>
    <s v="NET CASH FLOW-OPERATING ACTIVS"/>
    <s v="U:AEO(WC04860)~U$"/>
    <s v="US02553E1064"/>
    <s v="U$"/>
    <n v="415416"/>
    <n v="202498"/>
    <n v="303671"/>
    <n v="406296"/>
    <n v="580710"/>
    <x v="18"/>
  </r>
  <r>
    <x v="288"/>
    <x v="6"/>
    <s v="NET DEBT"/>
    <s v="U:AEO(WC18199)~U$"/>
    <s v="US02553E1064"/>
    <s v="U$"/>
    <n v="-416930"/>
    <n v="-525187"/>
    <n v="-83892"/>
    <n v="82900"/>
    <n v="-446394"/>
    <x v="18"/>
  </r>
  <r>
    <x v="289"/>
    <x v="6"/>
    <s v="NET INCOME - DILUTED"/>
    <s v="U:AEO(WC01705)~U$"/>
    <s v="US02553E1064"/>
    <s v="U$"/>
    <n v="191257"/>
    <n v="-209274"/>
    <n v="419629"/>
    <n v="125136"/>
    <n v="170038"/>
    <x v="18"/>
  </r>
  <r>
    <x v="290"/>
    <x v="6"/>
    <s v="NET SALES OR REVENUES"/>
    <s v="U:AEO(WC01001)~U$"/>
    <s v="US02553E1064"/>
    <s v="U$"/>
    <n v="4308212"/>
    <n v="3759113"/>
    <n v="5010785"/>
    <n v="4989833"/>
    <n v="5261770"/>
    <x v="18"/>
  </r>
  <r>
    <x v="291"/>
    <x v="6"/>
    <s v="NON-OPERATING INTEREST INCOME"/>
    <s v="U:AEO(WC01266)~U$"/>
    <s v="US02553E1064"/>
    <s v="U$"/>
    <n v="6202"/>
    <s v="NA"/>
    <s v="NA"/>
    <s v="NA"/>
    <n v="6190"/>
    <x v="18"/>
  </r>
  <r>
    <x v="292"/>
    <x v="6"/>
    <s v="OPERATING EXPENSES - TOTAL"/>
    <s v="U:AEO(WC01249)~U$"/>
    <s v="US02553E1064"/>
    <s v="U$"/>
    <n v="3994373"/>
    <n v="3750632"/>
    <n v="4407776"/>
    <n v="4720577"/>
    <n v="4897358"/>
    <x v="18"/>
  </r>
  <r>
    <x v="293"/>
    <x v="6"/>
    <s v="OPERATING INCOME"/>
    <s v="U:AEO(WC01250)~U$"/>
    <s v="US02553E1064"/>
    <s v="U$"/>
    <n v="313839"/>
    <n v="8481"/>
    <n v="603009"/>
    <n v="269256"/>
    <n v="364412"/>
    <x v="18"/>
  </r>
  <r>
    <x v="294"/>
    <x v="6"/>
    <s v="PRETAX INCOME"/>
    <s v="U:AEO(WC01401)~U$"/>
    <s v="US02553E1064"/>
    <s v="U$"/>
    <n v="245278"/>
    <n v="-292273"/>
    <n v="558922"/>
    <n v="178494"/>
    <n v="239858"/>
    <x v="18"/>
  </r>
  <r>
    <x v="295"/>
    <x v="6"/>
    <s v="PROPERTY, PLANT &amp; EQUIP - NET"/>
    <s v="U:AEO(WC02501)~U$"/>
    <s v="US02553E1064"/>
    <s v="U$"/>
    <n v="2154036"/>
    <n v="1779773"/>
    <n v="1921293"/>
    <n v="1868513"/>
    <n v="1718629"/>
    <x v="18"/>
  </r>
  <r>
    <x v="296"/>
    <x v="6"/>
    <s v="RECEIVABLES(NET)"/>
    <s v="U:AEO(WC02051)~U$"/>
    <s v="US02553E1064"/>
    <s v="U$"/>
    <n v="119064"/>
    <n v="146102"/>
    <n v="286683"/>
    <n v="242386"/>
    <n v="247934"/>
    <x v="18"/>
  </r>
  <r>
    <x v="297"/>
    <x v="6"/>
    <s v="SELLING, GENERAL &amp; ADMINISTRAT"/>
    <s v="U:AEO(WC01101)~U$"/>
    <s v="US02553E1064"/>
    <s v="U$"/>
    <n v="1029412"/>
    <n v="977264"/>
    <n v="1222000"/>
    <n v="1269095"/>
    <n v="1433300"/>
    <x v="18"/>
  </r>
  <r>
    <x v="298"/>
    <x v="6"/>
    <s v="SHORT TERM DEBT &amp; CURRENT PORT"/>
    <s v="U:AEO(WC03051)~U$"/>
    <s v="US02553E1064"/>
    <s v="U$"/>
    <n v="0"/>
    <n v="0"/>
    <n v="0"/>
    <n v="0"/>
    <n v="7700"/>
    <x v="18"/>
  </r>
  <r>
    <x v="299"/>
    <x v="6"/>
    <s v="TOTAL ASSETS"/>
    <s v="U:AEO(WC02999)~U$"/>
    <s v="US02553E1064"/>
    <s v="U$"/>
    <n v="3305955"/>
    <n v="3401761"/>
    <n v="3742476"/>
    <n v="3384473"/>
    <n v="3475845"/>
    <x v="18"/>
  </r>
  <r>
    <x v="300"/>
    <x v="6"/>
    <s v="TOTAL CAPITAL"/>
    <s v="U:AEO(WC03998)~U$"/>
    <s v="US02553E1064"/>
    <s v="U$"/>
    <n v="1247853"/>
    <n v="1411955"/>
    <n v="1764674"/>
    <n v="1608074"/>
    <n v="1736759"/>
    <x v="18"/>
  </r>
  <r>
    <x v="301"/>
    <x v="6"/>
    <s v="TOTAL DEBT"/>
    <s v="U:AEO(WC03255)~U$"/>
    <s v="US02553E1064"/>
    <s v="U$"/>
    <n v="0"/>
    <n v="325290"/>
    <n v="350878"/>
    <n v="253109"/>
    <n v="7700"/>
    <x v="18"/>
  </r>
  <r>
    <x v="302"/>
    <x v="6"/>
    <s v="TOTAL INTANGIBLE OT ASSETS-NET"/>
    <s v="U:AEO(WC02649)~U$"/>
    <s v="US02553E1064"/>
    <s v="U$"/>
    <n v="53004"/>
    <n v="70332"/>
    <n v="374117"/>
    <n v="359481"/>
    <n v="271412"/>
    <x v="18"/>
  </r>
  <r>
    <x v="303"/>
    <x v="6"/>
    <s v="TOTAL LIABILITIES"/>
    <s v="U:AEO(WC03351)~U$"/>
    <s v="US02553E1064"/>
    <s v="U$"/>
    <n v="2058102"/>
    <n v="2315096"/>
    <n v="2328680"/>
    <n v="2029508"/>
    <n v="1739086"/>
    <x v="18"/>
  </r>
  <r>
    <x v="304"/>
    <x v="6"/>
    <s v="TOTAL LIABILITIES &amp; SHAREHOLDE"/>
    <s v="U:AEO(WC03999)~U$"/>
    <s v="US02553E1064"/>
    <s v="U$"/>
    <n v="3305955"/>
    <n v="3401761"/>
    <n v="3742476"/>
    <n v="3384473"/>
    <n v="3475845"/>
    <x v="18"/>
  </r>
  <r>
    <x v="305"/>
    <x v="6"/>
    <s v="TOTAL SHAREHOLDERS EQUITY"/>
    <s v="U:AEO(WC03995)~U$"/>
    <s v="US02553E1064"/>
    <s v="U$"/>
    <n v="1247853"/>
    <n v="1086665"/>
    <n v="1413796"/>
    <n v="1354965"/>
    <n v="1736759"/>
    <x v="18"/>
  </r>
  <r>
    <x v="306"/>
    <x v="6"/>
    <s v="WORKING CAPITAL"/>
    <s v="U:AEO(WC03151)~U$"/>
    <s v="US02553E1064"/>
    <s v="U$"/>
    <n v="296174"/>
    <n v="664161"/>
    <n v="554053"/>
    <n v="331293"/>
    <n v="542178"/>
    <x v="18"/>
  </r>
  <r>
    <x v="307"/>
    <x v="4"/>
    <s v="BK VAL PS 12M FWD"/>
    <s v="U:AEO(DIBV)~U$"/>
    <s v="US02553E1064"/>
    <s v="U$"/>
    <n v="9.39"/>
    <n v="6.53"/>
    <n v="8.5"/>
    <n v="7.56"/>
    <n v="10.4"/>
    <x v="147"/>
  </r>
  <r>
    <x v="308"/>
    <x v="4"/>
    <s v="EV 12M FWD"/>
    <s v="U:AEO(DIEV)~U$"/>
    <s v="US02553E1064"/>
    <s v="U$"/>
    <n v="2433209"/>
    <n v="1867013"/>
    <n v="5022230"/>
    <n v="2540180"/>
    <n v="2856070"/>
    <x v="148"/>
  </r>
  <r>
    <x v="309"/>
    <x v="4"/>
    <s v="NET INCOME 12M FWD"/>
    <s v="U:AEO(DINI)~U$"/>
    <s v="US02553E1064"/>
    <s v="U$"/>
    <n v="288023.2"/>
    <n v="112696.7"/>
    <n v="483083.5"/>
    <n v="170026.7"/>
    <n v="266399.90000000002"/>
    <x v="149"/>
  </r>
  <r>
    <x v="310"/>
    <x v="4"/>
    <s v="PRETAX PRF 12M FWD"/>
    <s v="U:AEO(DINP)~U$"/>
    <s v="US02553E1064"/>
    <s v="U$"/>
    <n v="378939.2"/>
    <n v="145510"/>
    <n v="632676.5"/>
    <n v="234486.7"/>
    <n v="356179.9"/>
    <x v="150"/>
  </r>
  <r>
    <x v="311"/>
    <x v="4"/>
    <s v="ROE 12M FWD"/>
    <s v="U:AEO(DIRE)~U$"/>
    <s v="US02553E1064"/>
    <s v="U$"/>
    <n v="24.67"/>
    <n v="11.35"/>
    <n v="34.700000000000003"/>
    <n v="11.88"/>
    <n v="14.57"/>
    <x v="151"/>
  </r>
  <r>
    <x v="312"/>
    <x v="4"/>
    <s v="SALES 12M FWD"/>
    <s v="U:AEO(DISL)~U$"/>
    <s v="US02553E1064"/>
    <s v="U$"/>
    <n v="4397910"/>
    <n v="4128223"/>
    <n v="5196082"/>
    <n v="5034348"/>
    <n v="5206230"/>
    <x v="152"/>
  </r>
  <r>
    <x v="313"/>
    <x v="6"/>
    <s v="DECREASE/INCREASE RECEIVABLES"/>
    <s v="U:AEO(WC04825)~U$"/>
    <s v="US02553E1064"/>
    <s v="U$"/>
    <s v="NA"/>
    <s v="NA"/>
    <s v="NA"/>
    <s v="NA"/>
    <n v="-5820"/>
    <x v="18"/>
  </r>
  <r>
    <x v="314"/>
    <x v="6"/>
    <s v="DECREASE/INCR OTH ASTS/LIABILT"/>
    <s v="U:AEO(WC04830)~U$"/>
    <s v="US02553E1064"/>
    <s v="U$"/>
    <n v="228458"/>
    <n v="119059"/>
    <n v="162500"/>
    <n v="415929"/>
    <n v="248132"/>
    <x v="18"/>
  </r>
  <r>
    <x v="315"/>
    <x v="6"/>
    <s v="DECREASE/INCREASE INVENTORIES"/>
    <s v="U:AEO(WC04826)~U$"/>
    <s v="US02553E1064"/>
    <s v="U$"/>
    <n v="-21615"/>
    <n v="42156"/>
    <n v="-147140"/>
    <n v="-38364"/>
    <n v="-46304"/>
    <x v="18"/>
  </r>
  <r>
    <x v="316"/>
    <x v="6"/>
    <s v="DECREASE IN INVESTMENTS"/>
    <s v="U:AEO(WC04440)~U$"/>
    <s v="US02553E1064"/>
    <s v="U$"/>
    <n v="122135"/>
    <n v="69956"/>
    <n v="75000"/>
    <n v="0"/>
    <n v="0"/>
    <x v="18"/>
  </r>
  <r>
    <x v="317"/>
    <x v="7"/>
    <s v="MARKET VALUE"/>
    <s v="U:ANF(MV)~U$"/>
    <s v="US0028962076"/>
    <s v="U$"/>
    <n v="1014.56"/>
    <n v="952.44"/>
    <n v="2202.59"/>
    <n v="765.54"/>
    <n v="2562.67"/>
    <x v="153"/>
  </r>
  <r>
    <x v="318"/>
    <x v="7"/>
    <s v="PER"/>
    <s v="U:ANF(PE)"/>
    <s v="US0028962076"/>
    <s v="U$"/>
    <n v="17.7"/>
    <s v="NA"/>
    <n v="8.6"/>
    <n v="12.6"/>
    <n v="23.9"/>
    <x v="154"/>
  </r>
  <r>
    <x v="319"/>
    <x v="7"/>
    <s v="12MTH FORWARD EPS"/>
    <s v="U:ANF(EPS1FD12)~U$"/>
    <s v="US0028962076"/>
    <s v="U$"/>
    <n v="1.2290000000000001"/>
    <n v="-0.15"/>
    <n v="4.0030000000000001"/>
    <n v="1.2969999999999999"/>
    <n v="4.367"/>
    <x v="155"/>
  </r>
  <r>
    <x v="320"/>
    <x v="7"/>
    <e v="#VALUE!"/>
    <s v="529E(U:ANF)"/>
    <s v="US0028962076"/>
    <s v="U$"/>
    <n v="7.8739999999999997"/>
    <n v="-0.96799999999999997"/>
    <n v="11.138999999999999"/>
    <n v="8.4529999999999994"/>
    <n v="8.6229999999999993"/>
    <x v="156"/>
  </r>
  <r>
    <x v="320"/>
    <x v="7"/>
    <e v="#VALUE!"/>
    <s v="384E(U:ANF)"/>
    <s v="US0028962076"/>
    <s v="U$"/>
    <n v="4.6970000000000001"/>
    <n v="4.3949999999999996"/>
    <n v="4.851"/>
    <n v="5.5339999999999998"/>
    <n v="5.2080000000000002"/>
    <x v="157"/>
  </r>
  <r>
    <x v="320"/>
    <x v="7"/>
    <e v="#VALUE!"/>
    <s v="380E(U:ANF)"/>
    <s v="US0028962076"/>
    <s v="U$"/>
    <n v="1.968"/>
    <n v="0.94499999999999995"/>
    <n v="3.2440000000000002"/>
    <n v="2.206"/>
    <n v="3.5720000000000001"/>
    <x v="158"/>
  </r>
  <r>
    <x v="320"/>
    <x v="7"/>
    <e v="#VALUE!"/>
    <s v="157E(U:ANF)"/>
    <s v="US0028962076"/>
    <s v="U$"/>
    <n v="8.2301000000000002"/>
    <n v="5.5228000000000002"/>
    <n v="13.4299"/>
    <s v="NA"/>
    <n v="6.8383000000000003"/>
    <x v="159"/>
  </r>
  <r>
    <x v="320"/>
    <x v="7"/>
    <e v="#VALUE!"/>
    <s v="388E(U:ANF)"/>
    <s v="US0028962076"/>
    <s v="U$"/>
    <n v="0.159"/>
    <n v="6.2E-2"/>
    <n v="0.443"/>
    <n v="0.155"/>
    <n v="0.46100000000000002"/>
    <x v="160"/>
  </r>
  <r>
    <x v="320"/>
    <x v="7"/>
    <e v="#VALUE!"/>
    <s v="334E(U:ANF)"/>
    <s v="US0028962076"/>
    <s v="U$"/>
    <n v="-1.671"/>
    <n v="-1.9319999999999999"/>
    <n v="-2.0049999999999999"/>
    <n v="-1.2110000000000001"/>
    <n v="-1.1479999999999999"/>
    <x v="161"/>
  </r>
  <r>
    <x v="320"/>
    <x v="7"/>
    <e v="#VALUE!"/>
    <s v="338E(U:ANF)"/>
    <s v="US0028962076"/>
    <s v="U$"/>
    <n v="-0.316"/>
    <n v="-0.69"/>
    <n v="-0.65"/>
    <n v="-0.42799999999999999"/>
    <n v="-0.27300000000000002"/>
    <x v="162"/>
  </r>
  <r>
    <x v="320"/>
    <x v="7"/>
    <e v="#VALUE!"/>
    <s v="251E(U:ANF)"/>
    <s v="US0028962076"/>
    <s v="U$"/>
    <n v="0.75"/>
    <s v="NA"/>
    <n v="0.41"/>
    <n v="0.7"/>
    <n v="0.62"/>
    <x v="163"/>
  </r>
  <r>
    <x v="320"/>
    <x v="7"/>
    <e v="#VALUE!"/>
    <s v="250E(U:ANF)"/>
    <s v="US0028962076"/>
    <s v="U$"/>
    <n v="0.47"/>
    <s v="NA"/>
    <n v="0.28000000000000003"/>
    <n v="0.42"/>
    <n v="0.41"/>
    <x v="164"/>
  </r>
  <r>
    <x v="320"/>
    <x v="7"/>
    <e v="#VALUE!"/>
    <s v="553E(U:ANF)"/>
    <s v="US0028962076"/>
    <s v="U$"/>
    <n v="0.84179999999999999"/>
    <n v="1.0478000000000001"/>
    <n v="1.8844000000000001"/>
    <n v="1.0422"/>
    <n v="2.3683999999999998"/>
    <x v="165"/>
  </r>
  <r>
    <x v="321"/>
    <x v="7"/>
    <s v="12MTH TRAILING EPS"/>
    <s v="U:ANF(EPS1TR12)~U$"/>
    <s v="US0028962076"/>
    <s v="U$"/>
    <n v="1.016"/>
    <n v="-1.1100000000000001"/>
    <n v="2.7370000000000001"/>
    <n v="2.137"/>
    <n v="3.0030000000000001"/>
    <x v="166"/>
  </r>
  <r>
    <x v="322"/>
    <x v="7"/>
    <s v="DIV.PER SHR."/>
    <s v="U:ANF(DPS)~U$"/>
    <s v="US0028962076"/>
    <s v="U$"/>
    <n v="0.8"/>
    <n v="0"/>
    <n v="0"/>
    <n v="0"/>
    <n v="0"/>
    <x v="14"/>
  </r>
  <r>
    <x v="320"/>
    <x v="7"/>
    <e v="#VALUE!"/>
    <s v="354E(U:ANF)"/>
    <s v="US0028962076"/>
    <s v="U$"/>
    <n v="5.1890000000000001"/>
    <n v="2.754"/>
    <n v="1.298"/>
    <n v="0.86899999999999999"/>
    <n v="0"/>
    <x v="14"/>
  </r>
  <r>
    <x v="319"/>
    <x v="7"/>
    <s v="12MTH FORWARD EPS"/>
    <s v="U:ANF(EPS1FD12)~U$"/>
    <s v="US0028962076"/>
    <s v="U$"/>
    <n v="1.2290000000000001"/>
    <n v="-0.15"/>
    <n v="4.0030000000000001"/>
    <n v="1.2969999999999999"/>
    <n v="4.367"/>
    <x v="155"/>
  </r>
  <r>
    <x v="318"/>
    <x v="7"/>
    <s v="PER"/>
    <s v="U:ANF(PE)"/>
    <s v="US0028962076"/>
    <s v="U$"/>
    <n v="17.7"/>
    <s v="NA"/>
    <n v="8.6"/>
    <n v="12.6"/>
    <n v="23.9"/>
    <x v="154"/>
  </r>
  <r>
    <x v="317"/>
    <x v="7"/>
    <s v="MARKET VALUE"/>
    <s v="U:ANF(MV)~U$"/>
    <s v="US0028962076"/>
    <s v="U$"/>
    <n v="1014.56"/>
    <n v="952.44"/>
    <n v="2202.59"/>
    <n v="765.54"/>
    <n v="2562.67"/>
    <x v="153"/>
  </r>
  <r>
    <x v="323"/>
    <x v="7"/>
    <s v="EARNINGS PER SHR"/>
    <s v="U:ANF(EPS)~U$"/>
    <s v="US0028962076"/>
    <s v="U$"/>
    <n v="0.91"/>
    <n v="0"/>
    <n v="4.3099999999999996"/>
    <n v="1.23"/>
    <n v="2.13"/>
    <x v="167"/>
  </r>
  <r>
    <x v="320"/>
    <x v="7"/>
    <e v="#VALUE!"/>
    <s v="897E(U:ANF)"/>
    <s v="US0028962076"/>
    <s v="NA"/>
    <n v="0.32019999999999998"/>
    <n v="1.6283000000000001"/>
    <n v="1.6811"/>
    <n v="1.7831999999999999"/>
    <n v="1.8082"/>
    <x v="168"/>
  </r>
  <r>
    <x v="320"/>
    <x v="7"/>
    <e v="#VALUE!"/>
    <s v="400E(U:ANF)"/>
    <s v="US0028962076"/>
    <s v="NA"/>
    <n v="0.53039999999999998"/>
    <n v="0.64419999999999999"/>
    <n v="0.63600000000000001"/>
    <n v="0.68769999999999998"/>
    <n v="0.69889999999999997"/>
    <x v="169"/>
  </r>
  <r>
    <x v="324"/>
    <x v="7"/>
    <s v="ACCOUNTS PAYABLE"/>
    <s v="U:ANF(WC03040)~U$"/>
    <s v="US0028962076"/>
    <s v="U$"/>
    <n v="219919"/>
    <n v="289396"/>
    <n v="374829"/>
    <n v="258895"/>
    <n v="296976"/>
    <x v="18"/>
  </r>
  <r>
    <x v="325"/>
    <x v="7"/>
    <s v="AMORTIZATION OF DEFERRED CHARG"/>
    <s v="U:ANF(WC01150)~U$"/>
    <s v="US0028962076"/>
    <s v="U$"/>
    <n v="0"/>
    <n v="0"/>
    <n v="0"/>
    <n v="0"/>
    <n v="0"/>
    <x v="18"/>
  </r>
  <r>
    <x v="326"/>
    <x v="7"/>
    <s v="BOOK VALUE-OUT SHARES-FISCAL"/>
    <s v="U:ANF(WC05491)~U$"/>
    <s v="US0028962076"/>
    <s v="U$"/>
    <n v="16.864000000000001"/>
    <n v="15.01"/>
    <n v="15.590999999999999"/>
    <n v="14.18"/>
    <n v="20.498000000000001"/>
    <x v="18"/>
  </r>
  <r>
    <x v="327"/>
    <x v="7"/>
    <s v="BOOK VALUE PER SHARE"/>
    <s v="U:ANF(WC05476)~U$"/>
    <s v="US0028962076"/>
    <s v="U$"/>
    <n v="16.864000000000001"/>
    <n v="15.01"/>
    <n v="15.590999999999999"/>
    <n v="14.18"/>
    <n v="20.498000000000001"/>
    <x v="18"/>
  </r>
  <r>
    <x v="328"/>
    <x v="7"/>
    <s v="CAPITAL EXPENDITURES"/>
    <s v="U:ANF(WC04601)~U$"/>
    <s v="US0028962076"/>
    <s v="U$"/>
    <n v="202784"/>
    <n v="101910"/>
    <n v="96979"/>
    <n v="164566"/>
    <n v="157797"/>
    <x v="18"/>
  </r>
  <r>
    <x v="329"/>
    <x v="7"/>
    <s v="CASH"/>
    <s v="U:ANF(WC02003)~U$"/>
    <s v="US0028962076"/>
    <s v="U$"/>
    <n v="671267"/>
    <n v="1104862"/>
    <n v="823139"/>
    <n v="517602"/>
    <n v="900884"/>
    <x v="18"/>
  </r>
  <r>
    <x v="330"/>
    <x v="7"/>
    <s v="CASH - GENERIC"/>
    <s v="U:ANF(WC02005)~U$"/>
    <s v="US0028962076"/>
    <s v="U$"/>
    <n v="673236"/>
    <n v="1104862"/>
    <n v="823139"/>
    <n v="517602"/>
    <n v="900884"/>
    <x v="18"/>
  </r>
  <r>
    <x v="331"/>
    <x v="7"/>
    <s v="CASH &amp; SHORT TERM INVESTMENTS"/>
    <s v="U:ANF(WC02001)~U$"/>
    <s v="US0028962076"/>
    <s v="U$"/>
    <n v="673236"/>
    <n v="1104862"/>
    <n v="823139"/>
    <n v="517602"/>
    <n v="900884"/>
    <x v="18"/>
  </r>
  <r>
    <x v="332"/>
    <x v="7"/>
    <s v="CASH DIVIDENDS PAID - TOTAL"/>
    <s v="U:ANF(WC04551)~U$"/>
    <s v="US0028962076"/>
    <s v="U$"/>
    <n v="51510"/>
    <n v="12556"/>
    <n v="0"/>
    <n v="0"/>
    <n v="0"/>
    <x v="18"/>
  </r>
  <r>
    <x v="333"/>
    <x v="7"/>
    <s v="CASH FLOW PER SHARE"/>
    <s v="U:ANF(WC05501)~U$"/>
    <s v="US0028962076"/>
    <s v="U$"/>
    <n v="4.1109999999999998"/>
    <n v="3.0259999999999998"/>
    <n v="6.9279999999999999"/>
    <n v="3.7770000000000001"/>
    <n v="10.025"/>
    <x v="18"/>
  </r>
  <r>
    <x v="334"/>
    <x v="7"/>
    <s v="CASH FLOW PER SHARE - FIS YR"/>
    <s v="U:ANF(WC05502)~U$"/>
    <s v="US0028962076"/>
    <s v="U$"/>
    <n v="4.1109999999999998"/>
    <n v="3.0259999999999998"/>
    <n v="6.9279999999999999"/>
    <n v="3.7770000000000001"/>
    <n v="10.025"/>
    <x v="18"/>
  </r>
  <r>
    <x v="335"/>
    <x v="7"/>
    <s v="COMMON DIVIDENDS (CASH)"/>
    <s v="U:ANF(WC05376)~U$"/>
    <s v="US0028962076"/>
    <s v="U$"/>
    <n v="51510"/>
    <n v="12556"/>
    <n v="0"/>
    <n v="0"/>
    <n v="0"/>
    <x v="18"/>
  </r>
  <r>
    <x v="336"/>
    <x v="7"/>
    <s v="COMMON SHAREHOLDERS' EQUITY"/>
    <s v="U:ANF(WC03501)~U$"/>
    <s v="US0028962076"/>
    <s v="U$"/>
    <n v="1058810"/>
    <n v="936628"/>
    <n v="826090"/>
    <n v="694841"/>
    <n v="1035160"/>
    <x v="18"/>
  </r>
  <r>
    <x v="337"/>
    <x v="7"/>
    <s v="COMMON STOCK"/>
    <s v="U:ANF(WC03480)~U$"/>
    <s v="US0028962076"/>
    <s v="U$"/>
    <n v="1033"/>
    <n v="1033"/>
    <n v="1033"/>
    <n v="1033"/>
    <n v="1033"/>
    <x v="18"/>
  </r>
  <r>
    <x v="338"/>
    <x v="7"/>
    <s v="COST OF GOODS SOLD (EXCL DEP)"/>
    <s v="U:ANF(WC01051)~U$"/>
    <s v="US0028962076"/>
    <s v="U$"/>
    <n v="1298530"/>
    <n v="1010872"/>
    <n v="1256738"/>
    <n v="1460970"/>
    <n v="1446161"/>
    <x v="18"/>
  </r>
  <r>
    <x v="339"/>
    <x v="7"/>
    <s v="CURRENT ASSETS - TOTAL"/>
    <s v="U:ANF(WC02201)~U$"/>
    <s v="US0028962076"/>
    <s v="U$"/>
    <n v="1264749"/>
    <n v="1661629"/>
    <n v="1507759"/>
    <n v="1228018"/>
    <n v="1537265"/>
    <x v="18"/>
  </r>
  <r>
    <x v="340"/>
    <x v="7"/>
    <s v="CURRENT LIABILITIES-TOTAL"/>
    <s v="U:ANF(WC03101)~U$"/>
    <s v="US0028962076"/>
    <s v="U$"/>
    <n v="815354"/>
    <n v="959399"/>
    <n v="1015240"/>
    <n v="902200"/>
    <n v="966820"/>
    <x v="18"/>
  </r>
  <r>
    <x v="341"/>
    <x v="7"/>
    <s v="DEFERRED TAXES"/>
    <s v="U:ANF(WC03263)~U$"/>
    <s v="US0028962076"/>
    <s v="U$"/>
    <n v="74903"/>
    <s v="NA"/>
    <s v="NA"/>
    <s v="NA"/>
    <s v="NA"/>
    <x v="18"/>
  </r>
  <r>
    <x v="342"/>
    <x v="7"/>
    <s v="DEPRECIATION AND DEPLETION"/>
    <s v="U:ANF(WC04049)~U$"/>
    <s v="US0028962076"/>
    <s v="U$"/>
    <n v="173625"/>
    <n v="166281"/>
    <n v="144035"/>
    <n v="132243"/>
    <n v="141104"/>
    <x v="18"/>
  </r>
  <r>
    <x v="343"/>
    <x v="7"/>
    <s v="DEPRECIATION/DEPLETION/AMORT"/>
    <s v="U:ANF(WC01151)~U$"/>
    <s v="US0028962076"/>
    <s v="U$"/>
    <n v="173625"/>
    <n v="166281"/>
    <n v="144035"/>
    <n v="132243"/>
    <n v="141104"/>
    <x v="18"/>
  </r>
  <r>
    <x v="344"/>
    <x v="7"/>
    <s v="DIVIDENDS PER SHARE"/>
    <s v="U:ANF(WC05101)~U$"/>
    <s v="US0028962076"/>
    <s v="U$"/>
    <n v="0.8"/>
    <n v="0.2"/>
    <n v="0"/>
    <n v="0"/>
    <n v="0"/>
    <x v="18"/>
  </r>
  <r>
    <x v="345"/>
    <x v="7"/>
    <s v="DIVIDENDS PER SHARE - FISCAL"/>
    <s v="U:ANF(WC05110)~U$"/>
    <s v="US0028962076"/>
    <s v="U$"/>
    <n v="0.8"/>
    <n v="0.2"/>
    <n v="0"/>
    <n v="0"/>
    <n v="0"/>
    <x v="18"/>
  </r>
  <r>
    <x v="346"/>
    <x v="7"/>
    <s v="EARNINGS BEF INTEREST &amp; TAXES"/>
    <s v="U:ANF(WC18191)~U$"/>
    <s v="US0028962076"/>
    <s v="U$"/>
    <n v="82239"/>
    <n v="-17017"/>
    <n v="346932"/>
    <n v="97352"/>
    <n v="512651"/>
    <x v="18"/>
  </r>
  <r>
    <x v="347"/>
    <x v="7"/>
    <s v="EBIT &amp; DEPRECIATION"/>
    <s v="U:ANF(WC18198)~U$"/>
    <s v="US0028962076"/>
    <s v="U$"/>
    <n v="255864"/>
    <n v="149264"/>
    <n v="490967"/>
    <n v="229595"/>
    <n v="653755"/>
    <x v="18"/>
  </r>
  <r>
    <x v="348"/>
    <x v="7"/>
    <s v="EARNINGS PER SHARE"/>
    <s v="U:ANF(WC05201)~U$"/>
    <s v="US0028962076"/>
    <s v="U$"/>
    <n v="0.59799999999999998"/>
    <n v="-1.823"/>
    <n v="4.1989999999999998"/>
    <n v="5.3999999999999999E-2"/>
    <n v="6.2229999999999999"/>
    <x v="18"/>
  </r>
  <r>
    <x v="349"/>
    <x v="7"/>
    <s v="FISCAL EPS-FULLY DILUTED-YR"/>
    <s v="U:ANF(WC10030)~U$"/>
    <s v="US0028962076"/>
    <s v="U$"/>
    <n v="0.59799999999999998"/>
    <n v="-1.823"/>
    <n v="4.1989999999999998"/>
    <n v="5.3999999999999999E-2"/>
    <n v="6.2229999999999999"/>
    <x v="18"/>
  </r>
  <r>
    <x v="350"/>
    <x v="7"/>
    <s v="ENTERPRISE VALUE"/>
    <s v="U:ANF(WC18100)~U$"/>
    <s v="US0028962076"/>
    <s v="U$"/>
    <n v="600300"/>
    <n v="691277"/>
    <n v="1425092"/>
    <n v="1129168"/>
    <n v="4864297"/>
    <x v="18"/>
  </r>
  <r>
    <x v="351"/>
    <x v="7"/>
    <s v="GROSS INCOME"/>
    <s v="U:ANF(WC01100)~U$"/>
    <s v="US0028962076"/>
    <s v="U$"/>
    <n v="2150918"/>
    <n v="1948231"/>
    <n v="2311995"/>
    <n v="2104538"/>
    <n v="2693412"/>
    <x v="18"/>
  </r>
  <r>
    <x v="352"/>
    <x v="7"/>
    <s v="INCOME TAXES"/>
    <s v="U:ANF(WC01451)~U$"/>
    <s v="US0028962076"/>
    <s v="U$"/>
    <n v="17371"/>
    <n v="60211"/>
    <n v="38908"/>
    <n v="56631"/>
    <n v="148886"/>
    <x v="18"/>
  </r>
  <r>
    <x v="353"/>
    <x v="7"/>
    <s v="INCREASE/DECREASE IN CASH/SHOR"/>
    <s v="U:ANF(WC04851)~U$"/>
    <s v="US0028962076"/>
    <s v="U$"/>
    <n v="-53565"/>
    <n v="431893"/>
    <n v="-289789"/>
    <n v="-306799"/>
    <n v="382116"/>
    <x v="18"/>
  </r>
  <r>
    <x v="354"/>
    <x v="7"/>
    <s v="INTEREST EXPENSE ON DEBT"/>
    <s v="U:ANF(WC01251)~U$"/>
    <s v="US0028962076"/>
    <s v="U$"/>
    <n v="19908"/>
    <n v="31726"/>
    <n v="37958"/>
    <n v="30336"/>
    <n v="28352"/>
    <x v="18"/>
  </r>
  <r>
    <x v="355"/>
    <x v="7"/>
    <s v="TOTAL INVENTORIES"/>
    <s v="U:ANF(WC02101)~U$"/>
    <s v="US0028962076"/>
    <s v="U$"/>
    <n v="434326"/>
    <n v="404053"/>
    <n v="525864"/>
    <n v="505621"/>
    <n v="469466"/>
    <x v="18"/>
  </r>
  <r>
    <x v="356"/>
    <x v="7"/>
    <s v="LONG TERM DEBT"/>
    <s v="U:ANF(WC03251)~U$"/>
    <s v="US0028962076"/>
    <s v="U$"/>
    <n v="231963"/>
    <n v="343910"/>
    <n v="303574"/>
    <n v="296852"/>
    <n v="222119"/>
    <x v="18"/>
  </r>
  <r>
    <x v="357"/>
    <x v="7"/>
    <s v="MARKET CAPITALIZATION"/>
    <s v="U:ANF(WC08001)~U$"/>
    <s v="US0028962076"/>
    <s v="U$"/>
    <n v="1085570"/>
    <n v="1270444"/>
    <n v="1845468"/>
    <n v="1122636"/>
    <n v="4455110"/>
    <x v="18"/>
  </r>
  <r>
    <x v="358"/>
    <x v="7"/>
    <s v="NET CASH FLOW - FINANCING"/>
    <s v="U:ANF(WC04890)~U$"/>
    <s v="US0028962076"/>
    <s v="U$"/>
    <n v="-147873"/>
    <n v="69717"/>
    <n v="-446898"/>
    <n v="-155329"/>
    <n v="-111201"/>
    <x v="18"/>
  </r>
  <r>
    <x v="359"/>
    <x v="7"/>
    <s v="NET CASH FLOW - INVESTING"/>
    <s v="U:ANF(WC04870)~U$"/>
    <s v="US0028962076"/>
    <s v="U$"/>
    <n v="202784"/>
    <n v="51910"/>
    <n v="96979"/>
    <n v="140675"/>
    <n v="157182"/>
    <x v="18"/>
  </r>
  <r>
    <x v="360"/>
    <x v="7"/>
    <s v="NET CASH FLOW-OPERATING ACTIVS"/>
    <s v="U:ANF(WC04860)~U$"/>
    <s v="US0028962076"/>
    <s v="U$"/>
    <n v="300685"/>
    <n v="404918"/>
    <n v="277782"/>
    <n v="-2343"/>
    <n v="653422"/>
    <x v="18"/>
  </r>
  <r>
    <x v="361"/>
    <x v="7"/>
    <s v="NET DEBT"/>
    <s v="U:ANF(WC18199)~U$"/>
    <s v="US0028962076"/>
    <s v="U$"/>
    <n v="-439247"/>
    <n v="-760952"/>
    <n v="-519565"/>
    <n v="-220750"/>
    <n v="-678765"/>
    <x v="18"/>
  </r>
  <r>
    <x v="362"/>
    <x v="7"/>
    <s v="NET INCOME - DILUTED"/>
    <s v="U:ANF(WC01705)~U$"/>
    <s v="US0028962076"/>
    <s v="U$"/>
    <n v="39358"/>
    <n v="-114021"/>
    <n v="263010"/>
    <n v="2816"/>
    <n v="328123"/>
    <x v="18"/>
  </r>
  <r>
    <x v="363"/>
    <x v="7"/>
    <s v="NET SALES OR REVENUES"/>
    <s v="U:ANF(WC01001)~U$"/>
    <s v="US0028962076"/>
    <s v="U$"/>
    <n v="3623073"/>
    <n v="3125384"/>
    <n v="3712768"/>
    <n v="3697751"/>
    <n v="4280677"/>
    <x v="18"/>
  </r>
  <r>
    <x v="364"/>
    <x v="7"/>
    <s v="NON-OPERATING INTEREST INCOME"/>
    <s v="U:ANF(WC01266)~U$"/>
    <s v="US0028962076"/>
    <s v="U$"/>
    <n v="12171"/>
    <n v="3452"/>
    <n v="3848"/>
    <n v="4604"/>
    <n v="29980"/>
    <x v="18"/>
  </r>
  <r>
    <x v="365"/>
    <x v="7"/>
    <s v="OPERATING EXPENSES - TOTAL"/>
    <s v="U:ANF(WC01249)~U$"/>
    <s v="US0028962076"/>
    <s v="U$"/>
    <n v="3488013"/>
    <n v="3032580"/>
    <n v="3361764"/>
    <n v="3593746"/>
    <n v="3793590"/>
    <x v="18"/>
  </r>
  <r>
    <x v="366"/>
    <x v="7"/>
    <s v="OPERATING INCOME"/>
    <s v="U:ANF(WC01250)~U$"/>
    <s v="US0028962076"/>
    <s v="U$"/>
    <n v="135060"/>
    <n v="92804"/>
    <n v="351004"/>
    <n v="104005"/>
    <n v="487087"/>
    <x v="18"/>
  </r>
  <r>
    <x v="367"/>
    <x v="7"/>
    <s v="PRETAX INCOME"/>
    <s v="U:ANF(WC01401)~U$"/>
    <s v="US0028962076"/>
    <s v="U$"/>
    <n v="62331"/>
    <n v="-48743"/>
    <n v="308974"/>
    <n v="67016"/>
    <n v="484299"/>
    <x v="18"/>
  </r>
  <r>
    <x v="368"/>
    <x v="7"/>
    <s v="PROPERTY, PLANT &amp; EQUIP - NET"/>
    <s v="U:ANF(WC02501)~U$"/>
    <s v="US0028962076"/>
    <s v="U$"/>
    <n v="1896244"/>
    <n v="1444576"/>
    <n v="1206567"/>
    <n v="1275135"/>
    <n v="1216289"/>
    <x v="18"/>
  </r>
  <r>
    <x v="369"/>
    <x v="7"/>
    <s v="RECEIVABLES(NET)"/>
    <s v="U:ANF(WC02051)~U$"/>
    <s v="US0028962076"/>
    <s v="U$"/>
    <n v="80251"/>
    <n v="83857"/>
    <n v="69102"/>
    <n v="104506"/>
    <n v="78346"/>
    <x v="18"/>
  </r>
  <r>
    <x v="370"/>
    <x v="7"/>
    <s v="SELLING, GENERAL &amp; ADMINISTRAT"/>
    <s v="U:ANF(WC01101)~U$"/>
    <s v="US0028962076"/>
    <s v="U$"/>
    <n v="2015858"/>
    <n v="1855427"/>
    <n v="1966291"/>
    <n v="2000533"/>
    <n v="2206325"/>
    <x v="18"/>
  </r>
  <r>
    <x v="371"/>
    <x v="7"/>
    <s v="SHORT TERM DEBT &amp; CURRENT PORT"/>
    <s v="U:ANF(WC03051)~U$"/>
    <s v="US0028962076"/>
    <s v="U$"/>
    <n v="2026"/>
    <n v="0"/>
    <n v="0"/>
    <n v="0"/>
    <n v="0"/>
    <x v="18"/>
  </r>
  <r>
    <x v="372"/>
    <x v="7"/>
    <s v="TOTAL ASSETS"/>
    <s v="U:ANF(WC02999)~U$"/>
    <s v="US0028962076"/>
    <s v="U$"/>
    <n v="3549665"/>
    <n v="3314902"/>
    <n v="2939491"/>
    <n v="2713100"/>
    <n v="2974233"/>
    <x v="18"/>
  </r>
  <r>
    <x v="373"/>
    <x v="7"/>
    <s v="TOTAL CAPITAL"/>
    <s v="U:ANF(WC03998)~U$"/>
    <s v="US0028962076"/>
    <s v="U$"/>
    <n v="1303141"/>
    <n v="1293222"/>
    <n v="1140898"/>
    <n v="1003421"/>
    <n v="1272106"/>
    <x v="18"/>
  </r>
  <r>
    <x v="374"/>
    <x v="7"/>
    <s v="TOTAL DEBT"/>
    <s v="U:ANF(WC03255)~U$"/>
    <s v="US0028962076"/>
    <s v="U$"/>
    <n v="233989"/>
    <n v="343910"/>
    <n v="303574"/>
    <n v="296852"/>
    <n v="222119"/>
    <x v="18"/>
  </r>
  <r>
    <x v="375"/>
    <x v="7"/>
    <s v="TOTAL INTANGIBLE OT ASSETS-NET"/>
    <s v="U:ANF(WC02649)~U$"/>
    <s v="US0028962076"/>
    <s v="U$"/>
    <n v="0"/>
    <n v="0"/>
    <n v="0"/>
    <n v="0"/>
    <n v="0"/>
    <x v="18"/>
  </r>
  <r>
    <x v="376"/>
    <x v="7"/>
    <s v="TOTAL LIABILITIES"/>
    <s v="U:ANF(WC03351)~U$"/>
    <s v="US0028962076"/>
    <s v="U$"/>
    <n v="2478487"/>
    <n v="2365590"/>
    <n v="2102167"/>
    <n v="2006531"/>
    <n v="1924246"/>
    <x v="18"/>
  </r>
  <r>
    <x v="377"/>
    <x v="7"/>
    <s v="TOTAL LIABILITIES &amp; SHAREHOLDE"/>
    <s v="U:ANF(WC03999)~U$"/>
    <s v="US0028962076"/>
    <s v="U$"/>
    <n v="3549665"/>
    <n v="3314902"/>
    <n v="2939491"/>
    <n v="2713100"/>
    <n v="2974233"/>
    <x v="18"/>
  </r>
  <r>
    <x v="378"/>
    <x v="7"/>
    <s v="TOTAL SHAREHOLDERS EQUITY"/>
    <s v="U:ANF(WC03995)~U$"/>
    <s v="US0028962076"/>
    <s v="U$"/>
    <n v="1058810"/>
    <n v="936628"/>
    <n v="826090"/>
    <n v="694841"/>
    <n v="1035160"/>
    <x v="18"/>
  </r>
  <r>
    <x v="379"/>
    <x v="7"/>
    <s v="WORKING CAPITAL"/>
    <s v="U:ANF(WC03151)~U$"/>
    <s v="US0028962076"/>
    <s v="U$"/>
    <n v="449395"/>
    <n v="702230"/>
    <n v="492519"/>
    <n v="325818"/>
    <n v="570445"/>
    <x v="18"/>
  </r>
  <r>
    <x v="380"/>
    <x v="7"/>
    <s v="BK VAL PS 12M FWD"/>
    <s v="U:ANF(DIBV)~U$"/>
    <s v="US0028962076"/>
    <s v="U$"/>
    <n v="19.170000000000002"/>
    <n v="14.57"/>
    <n v="19.78"/>
    <n v="14.85"/>
    <n v="21.49"/>
    <x v="170"/>
  </r>
  <r>
    <x v="381"/>
    <x v="7"/>
    <s v="EV 12M FWD"/>
    <s v="U:ANF(DIEV)~U$"/>
    <s v="US0028962076"/>
    <s v="U$"/>
    <n v="1578635"/>
    <n v="604606.69999999995"/>
    <n v="1611200"/>
    <n v="714086.7"/>
    <n v="2233160"/>
    <x v="171"/>
  </r>
  <r>
    <x v="382"/>
    <x v="7"/>
    <s v="NET INCOME 12M FWD"/>
    <s v="U:ANF(DINI)~U$"/>
    <s v="US0028962076"/>
    <s v="U$"/>
    <n v="82320"/>
    <n v="-8640"/>
    <n v="247503.3"/>
    <n v="49539.99"/>
    <n v="223856.7"/>
    <x v="172"/>
  </r>
  <r>
    <x v="383"/>
    <x v="7"/>
    <s v="PRETAX PRF 12M FWD"/>
    <s v="U:ANF(DINP)~U$"/>
    <s v="US0028962076"/>
    <s v="U$"/>
    <n v="115742.5"/>
    <n v="25553.33"/>
    <n v="315633.3"/>
    <n v="72773.31"/>
    <n v="348786.6"/>
    <x v="173"/>
  </r>
  <r>
    <x v="384"/>
    <x v="7"/>
    <s v="ROE 12M FWD"/>
    <s v="U:ANF(DIRE)~U$"/>
    <s v="US0028962076"/>
    <s v="U$"/>
    <n v="4.38"/>
    <s v="NA"/>
    <n v="22.74"/>
    <n v="6.84"/>
    <n v="22.65"/>
    <x v="174"/>
  </r>
  <r>
    <x v="385"/>
    <x v="7"/>
    <s v="SALES 12M FWD"/>
    <s v="U:ANF(DISL)~U$"/>
    <s v="US0028962076"/>
    <s v="U$"/>
    <n v="3700011"/>
    <n v="3274960"/>
    <n v="3822090"/>
    <n v="3580143"/>
    <n v="4117996"/>
    <x v="175"/>
  </r>
  <r>
    <x v="386"/>
    <x v="7"/>
    <s v="DECREASE/INCR OTH ASTS/LIABILT"/>
    <s v="U:ANF(WC04830)~U$"/>
    <s v="US0028962076"/>
    <s v="U$"/>
    <n v="22663"/>
    <n v="-15179"/>
    <n v="-107771"/>
    <n v="-95960"/>
    <n v="-28920"/>
    <x v="18"/>
  </r>
  <r>
    <x v="387"/>
    <x v="7"/>
    <s v="DECREASE/INCREASE INVENTORIES"/>
    <s v="U:ANF(WC04826)~U$"/>
    <s v="US0028962076"/>
    <s v="U$"/>
    <n v="2270"/>
    <n v="33312"/>
    <n v="-123221"/>
    <n v="18505"/>
    <n v="35043"/>
    <x v="18"/>
  </r>
  <r>
    <x v="388"/>
    <x v="7"/>
    <s v="DECREASE IN INVESTMENTS"/>
    <s v="U:ANF(WC04440)~U$"/>
    <s v="US0028962076"/>
    <s v="U$"/>
    <n v="0"/>
    <n v="0"/>
    <n v="0"/>
    <n v="0"/>
    <n v="0"/>
    <x v="18"/>
  </r>
  <r>
    <x v="389"/>
    <x v="8"/>
    <s v="MARKET VALUE"/>
    <s v="D:FR7(MV)~U$"/>
    <s v="JP3802300008"/>
    <s v="U$"/>
    <n v="62877.17"/>
    <n v="65415.01"/>
    <n v="73704.39"/>
    <n v="60112.42"/>
    <n v="75419.78"/>
    <x v="176"/>
  </r>
  <r>
    <x v="390"/>
    <x v="8"/>
    <s v="PER"/>
    <s v="D:FR7(PE)"/>
    <s v="JP3802300008"/>
    <s v="E"/>
    <n v="40.4"/>
    <n v="68"/>
    <n v="52"/>
    <n v="31.3"/>
    <n v="38.4"/>
    <x v="177"/>
  </r>
  <r>
    <x v="391"/>
    <x v="8"/>
    <s v="12MTH FORWARD EPS"/>
    <s v="D:FR7(EPS1FD12)~U$"/>
    <s v="JP3802300008"/>
    <s v="U$"/>
    <n v="5.7779999999999996"/>
    <n v="5.077"/>
    <n v="6.0019999999999998"/>
    <n v="5.0709999999999997"/>
    <n v="6.44"/>
    <x v="178"/>
  </r>
  <r>
    <x v="392"/>
    <x v="8"/>
    <e v="#VALUE!"/>
    <s v="529E(D:FR7)"/>
    <s v="JP3802300008"/>
    <s v="Y"/>
    <n v="2.9870000000000001"/>
    <n v="2.411"/>
    <n v="2.6219999999999999"/>
    <n v="2.5550000000000002"/>
    <n v="2.8010000000000002"/>
    <x v="179"/>
  </r>
  <r>
    <x v="392"/>
    <x v="8"/>
    <e v="#VALUE!"/>
    <s v="384E(D:FR7)"/>
    <s v="JP3802300008"/>
    <s v="NA"/>
    <s v="NA"/>
    <n v="23.887"/>
    <n v="25.114000000000001"/>
    <n v="23.8"/>
    <s v="NA"/>
    <x v="180"/>
  </r>
  <r>
    <x v="392"/>
    <x v="8"/>
    <e v="#VALUE!"/>
    <s v="380E(D:FR7)"/>
    <s v="JP3802300008"/>
    <s v="NA"/>
    <n v="18.016999999999999"/>
    <n v="19.027000000000001"/>
    <n v="15.9"/>
    <n v="15.375"/>
    <n v="16.315000000000001"/>
    <x v="181"/>
  </r>
  <r>
    <x v="392"/>
    <x v="8"/>
    <e v="#VALUE!"/>
    <s v="157E(D:FR7)"/>
    <s v="JP3802300008"/>
    <s v="Y"/>
    <s v="NA"/>
    <s v="NA"/>
    <s v="NA"/>
    <s v="NA"/>
    <n v="2.4500000000000002"/>
    <x v="182"/>
  </r>
  <r>
    <x v="392"/>
    <x v="8"/>
    <e v="#VALUE!"/>
    <s v="388E(D:FR7)"/>
    <s v="JP3802300008"/>
    <s v="NA"/>
    <n v="2.5409999999999999"/>
    <n v="2.895"/>
    <n v="3.22"/>
    <n v="3.2050000000000001"/>
    <n v="3.3959999999999999"/>
    <x v="183"/>
  </r>
  <r>
    <x v="392"/>
    <x v="8"/>
    <e v="#VALUE!"/>
    <s v="334E(D:FR7)"/>
    <s v="JP3802300008"/>
    <s v="Y"/>
    <n v="-1.8009999999999999"/>
    <n v="-1.51"/>
    <n v="-1.2869999999999999"/>
    <n v="-1.625"/>
    <n v="-1.8440000000000001"/>
    <x v="184"/>
  </r>
  <r>
    <x v="392"/>
    <x v="8"/>
    <e v="#VALUE!"/>
    <s v="338E(D:FR7)"/>
    <s v="JP3802300008"/>
    <s v="Y"/>
    <n v="-0.10199999999999999"/>
    <n v="-9.0999999999999998E-2"/>
    <n v="-8.5999999999999993E-2"/>
    <n v="-0.11899999999999999"/>
    <n v="-0.129"/>
    <x v="185"/>
  </r>
  <r>
    <x v="392"/>
    <x v="8"/>
    <e v="#VALUE!"/>
    <s v="251E(D:FR7)"/>
    <s v="JP3802300008"/>
    <s v="NA"/>
    <n v="2.64"/>
    <n v="2.4300000000000002"/>
    <n v="2.57"/>
    <n v="3.93"/>
    <n v="3.23"/>
    <x v="186"/>
  </r>
  <r>
    <x v="392"/>
    <x v="8"/>
    <e v="#VALUE!"/>
    <s v="250E(D:FR7)"/>
    <s v="JP3802300008"/>
    <s v="Y"/>
    <n v="1.63"/>
    <n v="1.44"/>
    <n v="1.56"/>
    <n v="1.76"/>
    <n v="1.62"/>
    <x v="187"/>
  </r>
  <r>
    <x v="392"/>
    <x v="8"/>
    <e v="#VALUE!"/>
    <s v="553E(D:FR7)"/>
    <s v="JP3802300008"/>
    <s v="Y"/>
    <n v="5.7220000000000004"/>
    <n v="6.01"/>
    <n v="6.3239999999999998"/>
    <n v="5.7240000000000002"/>
    <n v="5.5880000000000001"/>
    <x v="188"/>
  </r>
  <r>
    <x v="393"/>
    <x v="8"/>
    <s v="12MTH TRAILING EPS"/>
    <s v="D:FR7(EPS1TR12)~U$"/>
    <s v="JP3802300008"/>
    <s v="U$"/>
    <n v="5.0190000000000001"/>
    <n v="3.0859999999999999"/>
    <n v="4.9749999999999996"/>
    <n v="5.5439999999999996"/>
    <n v="5.8730000000000002"/>
    <x v="189"/>
  </r>
  <r>
    <x v="394"/>
    <x v="8"/>
    <s v="DIV.PER SHR."/>
    <s v="D:FR7(DPS)~U$"/>
    <s v="JP3802300008"/>
    <s v="U$"/>
    <n v="1.48"/>
    <n v="1.53"/>
    <n v="1.45"/>
    <n v="1.21"/>
    <n v="1.61"/>
    <x v="190"/>
  </r>
  <r>
    <x v="392"/>
    <x v="8"/>
    <e v="#VALUE!"/>
    <s v="354E(D:FR7)"/>
    <s v="JP3802300008"/>
    <s v="Y"/>
    <n v="0.85499999999999998"/>
    <n v="0.76500000000000001"/>
    <n v="0.77500000000000002"/>
    <n v="0.73599999999999999"/>
    <n v="0.91200000000000003"/>
    <x v="191"/>
  </r>
  <r>
    <x v="391"/>
    <x v="8"/>
    <s v="12MTH FORWARD EPS"/>
    <s v="D:FR7(EPS1FD12)~U$"/>
    <s v="JP3802300008"/>
    <s v="U$"/>
    <n v="5.7779999999999996"/>
    <n v="5.077"/>
    <n v="6.0019999999999998"/>
    <n v="5.0709999999999997"/>
    <n v="6.44"/>
    <x v="178"/>
  </r>
  <r>
    <x v="390"/>
    <x v="8"/>
    <s v="PER"/>
    <s v="D:FR7(PE)"/>
    <s v="JP3802300008"/>
    <s v="E"/>
    <n v="40.4"/>
    <n v="68"/>
    <n v="52"/>
    <n v="31.3"/>
    <n v="38.4"/>
    <x v="177"/>
  </r>
  <r>
    <x v="389"/>
    <x v="8"/>
    <s v="MARKET VALUE"/>
    <s v="D:FR7(MV)~U$"/>
    <s v="JP3802300008"/>
    <s v="U$"/>
    <n v="62877.17"/>
    <n v="65415.01"/>
    <n v="73704.39"/>
    <n v="60112.42"/>
    <n v="75419.78"/>
    <x v="176"/>
  </r>
  <r>
    <x v="395"/>
    <x v="8"/>
    <s v="EARNINGS PER SHR"/>
    <s v="D:FR7(EPS)~U$"/>
    <s v="JP3802300008"/>
    <s v="U$"/>
    <n v="4.9800000000000004"/>
    <n v="2.96"/>
    <n v="4.4800000000000004"/>
    <n v="5.85"/>
    <n v="6.05"/>
    <x v="192"/>
  </r>
  <r>
    <x v="392"/>
    <x v="8"/>
    <e v="#VALUE!"/>
    <s v="897E(D:FR7)"/>
    <s v="JP3802300008"/>
    <s v="NA"/>
    <n v="0.97"/>
    <n v="0.79"/>
    <n v="0.64"/>
    <n v="0.68"/>
    <n v="0.6"/>
    <x v="193"/>
  </r>
  <r>
    <x v="392"/>
    <x v="8"/>
    <e v="#VALUE!"/>
    <s v="400E(D:FR7)"/>
    <s v="JP3802300008"/>
    <s v="NA"/>
    <n v="0.32229999999999998"/>
    <n v="0.3503"/>
    <n v="0.31659999999999999"/>
    <n v="0.32669999999999999"/>
    <n v="0.30199999999999999"/>
    <x v="194"/>
  </r>
  <r>
    <x v="396"/>
    <x v="8"/>
    <s v="ACCOUNTS PAYABLE"/>
    <s v="D:FR7(WC03040)~U$"/>
    <s v="JP3802300008"/>
    <s v="U$"/>
    <n v="1175448"/>
    <n v="1445128"/>
    <n v="1636828"/>
    <n v="2098320"/>
    <n v="1906795"/>
    <x v="18"/>
  </r>
  <r>
    <x v="397"/>
    <x v="8"/>
    <s v="AMORTIZATION OF DEFERRED CHARG"/>
    <s v="D:FR7(WC01150)~U$"/>
    <s v="JP3802300008"/>
    <s v="U$"/>
    <n v="0"/>
    <n v="10"/>
    <n v="0"/>
    <n v="0"/>
    <n v="1422"/>
    <x v="18"/>
  </r>
  <r>
    <x v="398"/>
    <x v="8"/>
    <s v="AMORTIZATION-INTANGIBLE ASSETS"/>
    <s v="D:FR7(WC04050)~U$"/>
    <s v="JP3802300008"/>
    <s v="U$"/>
    <n v="89582"/>
    <n v="134445"/>
    <s v="NA"/>
    <s v="NA"/>
    <s v="NA"/>
    <x v="18"/>
  </r>
  <r>
    <x v="399"/>
    <x v="8"/>
    <s v="AMORTIZATION OF INTANGIBLES"/>
    <s v="D:FR7(WC01149)~U$"/>
    <s v="JP3802300008"/>
    <s v="U$"/>
    <n v="89582"/>
    <n v="134436"/>
    <n v="158634"/>
    <n v="139044"/>
    <n v="152971"/>
    <x v="18"/>
  </r>
  <r>
    <x v="400"/>
    <x v="8"/>
    <s v="BOOK VALUE-OUT SHARES-FISCAL"/>
    <s v="D:FR7(WC05491)~U$"/>
    <s v="JP3802300008"/>
    <s v="U$"/>
    <n v="28.326000000000001"/>
    <n v="29.934999999999999"/>
    <n v="33.131999999999998"/>
    <n v="35.637"/>
    <n v="40.219000000000001"/>
    <x v="18"/>
  </r>
  <r>
    <x v="401"/>
    <x v="8"/>
    <s v="BOOK VALUE PER SHARE"/>
    <s v="D:FR7(WC05476)~U$"/>
    <s v="JP3802300008"/>
    <s v="U$"/>
    <n v="28.326000000000001"/>
    <n v="29.934999999999999"/>
    <n v="33.131999999999998"/>
    <n v="35.637"/>
    <n v="40.219000000000001"/>
    <x v="18"/>
  </r>
  <r>
    <x v="402"/>
    <x v="8"/>
    <s v="CAPITAL EXPENDITURES"/>
    <s v="D:FR7(WC04601)~U$"/>
    <s v="JP3802300008"/>
    <s v="U$"/>
    <n v="384079"/>
    <n v="463053"/>
    <n v="521469"/>
    <n v="364258"/>
    <n v="430777"/>
    <x v="18"/>
  </r>
  <r>
    <x v="403"/>
    <x v="8"/>
    <s v="CASH"/>
    <s v="D:FR7(WC02003)~U$"/>
    <s v="JP3802300008"/>
    <s v="U$"/>
    <n v="10039438"/>
    <n v="10481967"/>
    <n v="10709609"/>
    <n v="9502530"/>
    <n v="6116675"/>
    <x v="18"/>
  </r>
  <r>
    <x v="404"/>
    <x v="8"/>
    <s v="CASH - GENERIC"/>
    <s v="D:FR7(WC02005)~U$"/>
    <s v="JP3802300008"/>
    <s v="U$"/>
    <n v="10587001"/>
    <n v="11098339"/>
    <n v="11466724"/>
    <n v="11237502"/>
    <n v="10912985"/>
    <x v="18"/>
  </r>
  <r>
    <x v="405"/>
    <x v="8"/>
    <s v="CASH &amp; SHORT TERM INVESTMENTS"/>
    <s v="D:FR7(WC02001)~U$"/>
    <s v="JP3802300008"/>
    <s v="U$"/>
    <n v="10587001"/>
    <n v="11098339"/>
    <n v="11466724"/>
    <n v="11237502"/>
    <n v="10912985"/>
    <x v="18"/>
  </r>
  <r>
    <x v="406"/>
    <x v="8"/>
    <s v="CASH DIVIDENDS PAID - TOTAL"/>
    <s v="D:FR7(WC04551)~U$"/>
    <s v="JP3802300008"/>
    <s v="U$"/>
    <n v="452529"/>
    <n v="469638"/>
    <n v="445512"/>
    <n v="371421"/>
    <n v="494762"/>
    <x v="18"/>
  </r>
  <r>
    <x v="407"/>
    <x v="8"/>
    <s v="CASH FLOW PER SHARE"/>
    <s v="D:FR7(WC05501)~U$"/>
    <s v="JP3802300008"/>
    <s v="U$"/>
    <n v="7.4029999999999996"/>
    <n v="8.9819999999999993"/>
    <n v="10.795"/>
    <n v="8.82"/>
    <n v="9.609"/>
    <x v="18"/>
  </r>
  <r>
    <x v="408"/>
    <x v="8"/>
    <s v="CASH FLOW PER SHARE - FIS YR"/>
    <s v="D:FR7(WC05502)~U$"/>
    <s v="JP3802300008"/>
    <s v="U$"/>
    <n v="7.4029999999999996"/>
    <n v="8.9819999999999993"/>
    <n v="10.795"/>
    <n v="8.82"/>
    <n v="9.609"/>
    <x v="18"/>
  </r>
  <r>
    <x v="409"/>
    <x v="8"/>
    <s v="COMMON DIVIDENDS (CASH)"/>
    <s v="D:FR7(WC05376)~U$"/>
    <s v="JP3802300008"/>
    <s v="U$"/>
    <n v="452529"/>
    <n v="469638"/>
    <n v="445512"/>
    <n v="371421"/>
    <n v="494762"/>
    <x v="18"/>
  </r>
  <r>
    <x v="410"/>
    <x v="8"/>
    <s v="COMMON SHAREHOLDERS' EQUITY"/>
    <s v="D:FR7(WC03501)~U$"/>
    <s v="JP3802300008"/>
    <s v="U$"/>
    <n v="8672860"/>
    <n v="9169069"/>
    <n v="10152630"/>
    <n v="10925224"/>
    <n v="12333875"/>
    <x v="18"/>
  </r>
  <r>
    <x v="411"/>
    <x v="8"/>
    <s v="COMMON STOCK"/>
    <s v="D:FR7(WC03480)~U$"/>
    <s v="JP3802300008"/>
    <s v="U$"/>
    <n v="94923"/>
    <n v="98471"/>
    <n v="93416"/>
    <n v="71869"/>
    <n v="69565"/>
    <x v="18"/>
  </r>
  <r>
    <x v="412"/>
    <x v="8"/>
    <s v="COST OF GOODS SOLD (EXCL DEP)"/>
    <s v="D:FR7(WC01051)~U$"/>
    <s v="JP3802300008"/>
    <s v="U$"/>
    <n v="10819923"/>
    <n v="9901751"/>
    <n v="9610027"/>
    <n v="7625302"/>
    <n v="8975676"/>
    <x v="18"/>
  </r>
  <r>
    <x v="413"/>
    <x v="8"/>
    <s v="CURRENT ASSETS - TOTAL"/>
    <s v="D:FR7(WC02201)~U$"/>
    <s v="JP3802300008"/>
    <s v="U$"/>
    <n v="15136732"/>
    <n v="15865720"/>
    <n v="15683128"/>
    <n v="15243112"/>
    <n v="14739766"/>
    <x v="18"/>
  </r>
  <r>
    <x v="414"/>
    <x v="8"/>
    <s v="CURRENT LIABILITIES-TOTAL"/>
    <s v="D:FR7(WC03101)~U$"/>
    <s v="JP3802300008"/>
    <s v="U$"/>
    <n v="4404321"/>
    <n v="6206136"/>
    <n v="5283367"/>
    <n v="6130137"/>
    <n v="4938277"/>
    <x v="18"/>
  </r>
  <r>
    <x v="415"/>
    <x v="8"/>
    <s v="DEFERRED TAXES"/>
    <s v="D:FR7(WC03263)~U$"/>
    <s v="JP3802300008"/>
    <s v="U$"/>
    <n v="-224911"/>
    <n v="-361246"/>
    <n v="-247931"/>
    <n v="250119"/>
    <n v="195233"/>
    <x v="18"/>
  </r>
  <r>
    <x v="416"/>
    <x v="8"/>
    <s v="DEPRECIATION AND DEPLETION"/>
    <s v="D:FR7(WC04049)~U$"/>
    <s v="JP3802300008"/>
    <s v="U$"/>
    <n v="358337"/>
    <n v="1570305"/>
    <n v="1617804"/>
    <n v="1261193"/>
    <n v="1265427"/>
    <x v="18"/>
  </r>
  <r>
    <x v="417"/>
    <x v="8"/>
    <s v="DEPRECIATION/DEPLETION/AMORT"/>
    <s v="D:FR7(WC01151)~U$"/>
    <s v="JP3802300008"/>
    <s v="U$"/>
    <n v="447918"/>
    <n v="1704750"/>
    <n v="1638001"/>
    <n v="1291290"/>
    <n v="1297342"/>
    <x v="18"/>
  </r>
  <r>
    <x v="418"/>
    <x v="8"/>
    <s v="DIVIDENDS PER SHARE"/>
    <s v="D:FR7(WC05101)~U$"/>
    <s v="JP3802300008"/>
    <s v="U$"/>
    <n v="1.478"/>
    <n v="1.534"/>
    <n v="1.4550000000000001"/>
    <n v="1.446"/>
    <n v="1.964"/>
    <x v="195"/>
  </r>
  <r>
    <x v="419"/>
    <x v="8"/>
    <s v="DIVIDENDS PER SHARE - FISCAL"/>
    <s v="D:FR7(WC05110)~U$"/>
    <s v="JP3802300008"/>
    <s v="U$"/>
    <n v="1.478"/>
    <n v="1.534"/>
    <n v="1.4550000000000001"/>
    <n v="1.446"/>
    <n v="1.964"/>
    <x v="195"/>
  </r>
  <r>
    <x v="420"/>
    <x v="8"/>
    <s v="EARNINGS BEF INTEREST &amp; TAXES"/>
    <s v="D:FR7(WC18191)~U$"/>
    <s v="JP3802300008"/>
    <s v="U$"/>
    <n v="2372980"/>
    <n v="1539181"/>
    <n v="2481240"/>
    <n v="2946298"/>
    <n v="3031718"/>
    <x v="18"/>
  </r>
  <r>
    <x v="421"/>
    <x v="8"/>
    <s v="EBIT &amp; DEPRECIATION"/>
    <s v="D:FR7(WC18198)~U$"/>
    <s v="JP3802300008"/>
    <s v="U$"/>
    <n v="2820899"/>
    <n v="3243931"/>
    <n v="4119240"/>
    <n v="4237588"/>
    <n v="4329060"/>
    <x v="18"/>
  </r>
  <r>
    <x v="422"/>
    <x v="8"/>
    <s v="EARNINGS PER SHARE"/>
    <s v="D:FR7(WC05201)~U$"/>
    <s v="JP3802300008"/>
    <s v="U$"/>
    <n v="4.907"/>
    <n v="2.8279999999999998"/>
    <n v="5.0410000000000004"/>
    <n v="6.2389999999999999"/>
    <n v="6.5419999999999998"/>
    <x v="18"/>
  </r>
  <r>
    <x v="423"/>
    <x v="8"/>
    <s v="FISCAL EPS-FULLY DILUTED-YR"/>
    <s v="D:FR7(WC10030)~U$"/>
    <s v="JP3802300008"/>
    <s v="U$"/>
    <n v="4.899"/>
    <n v="2.823"/>
    <n v="5.0330000000000004"/>
    <n v="6.2290000000000001"/>
    <n v="6.5309999999999997"/>
    <x v="18"/>
  </r>
  <r>
    <x v="424"/>
    <x v="8"/>
    <s v="ENTERPRISE VALUE"/>
    <s v="D:FR7(WC18100)~U$"/>
    <s v="JP3802300008"/>
    <s v="U$"/>
    <n v="53267305"/>
    <n v="60323799"/>
    <n v="63977791"/>
    <n v="53687731"/>
    <n v="63749420"/>
    <x v="18"/>
  </r>
  <r>
    <x v="425"/>
    <x v="8"/>
    <s v="GROSS INCOME"/>
    <s v="D:FR7(WC01100)~U$"/>
    <s v="JP3802300008"/>
    <s v="U$"/>
    <n v="9896828"/>
    <n v="7649155"/>
    <n v="8148093"/>
    <n v="7181920"/>
    <n v="8461073"/>
    <x v="18"/>
  </r>
  <r>
    <x v="426"/>
    <x v="8"/>
    <s v="INCOME TAXES"/>
    <s v="D:FR7(WC01451)~U$"/>
    <s v="JP3802300008"/>
    <s v="U$"/>
    <n v="687456"/>
    <n v="598802"/>
    <n v="820114"/>
    <n v="901315"/>
    <n v="831190"/>
    <x v="18"/>
  </r>
  <r>
    <x v="427"/>
    <x v="8"/>
    <s v="INCREASE/DECREASE IN CASH/SHOR"/>
    <s v="D:FR7(WC04851)~U$"/>
    <s v="JP3802300008"/>
    <s v="U$"/>
    <n v="802235"/>
    <n v="67203"/>
    <n v="765700"/>
    <n v="1263159"/>
    <n v="-3081165"/>
    <x v="18"/>
  </r>
  <r>
    <x v="428"/>
    <x v="8"/>
    <s v="INTEREST EXPENSE ON DEBT"/>
    <s v="D:FR7(WC01251)~U$"/>
    <s v="JP3802300008"/>
    <s v="U$"/>
    <n v="40370"/>
    <n v="73865"/>
    <n v="63563"/>
    <n v="52889"/>
    <n v="66301"/>
    <x v="18"/>
  </r>
  <r>
    <x v="429"/>
    <x v="8"/>
    <s v="TOTAL INVENTORIES"/>
    <s v="D:FR7(WC02101)~U$"/>
    <s v="JP3802300008"/>
    <s v="U$"/>
    <n v="3793261"/>
    <n v="4002196"/>
    <n v="3590687"/>
    <n v="3399523"/>
    <n v="3042180"/>
    <x v="18"/>
  </r>
  <r>
    <x v="430"/>
    <x v="8"/>
    <s v="LONG TERM DEBT"/>
    <s v="D:FR7(WC03251)~U$"/>
    <s v="JP3802300008"/>
    <s v="U$"/>
    <n v="4606113"/>
    <n v="6909927"/>
    <n v="6483994"/>
    <n v="4173792"/>
    <n v="3917054"/>
    <x v="18"/>
  </r>
  <r>
    <x v="431"/>
    <x v="8"/>
    <s v="MARKET CAPITALIZATION"/>
    <s v="D:FR7(WC08001)~U$"/>
    <s v="JP3802300008"/>
    <s v="U$"/>
    <n v="58695474"/>
    <n v="61930729"/>
    <n v="67359548"/>
    <n v="58587114"/>
    <n v="69526011"/>
    <x v="18"/>
  </r>
  <r>
    <x v="432"/>
    <x v="8"/>
    <s v="NET CASH FLOW - FINANCING"/>
    <s v="D:FR7(WC04890)~U$"/>
    <s v="JP3802300008"/>
    <s v="U$"/>
    <n v="-946444"/>
    <n v="-1756703"/>
    <n v="-2755160"/>
    <n v="-1490485"/>
    <n v="-2468678"/>
    <x v="18"/>
  </r>
  <r>
    <x v="433"/>
    <x v="8"/>
    <s v="NET CASH FLOW - INVESTING"/>
    <s v="D:FR7(WC04870)~U$"/>
    <s v="JP3802300008"/>
    <s v="U$"/>
    <n v="727706"/>
    <n v="728311"/>
    <n v="751086"/>
    <n v="1484720"/>
    <n v="3889636"/>
    <x v="18"/>
  </r>
  <r>
    <x v="434"/>
    <x v="8"/>
    <s v="NET CASH FLOW-OPERATING ACTIVS"/>
    <s v="D:FR7(WC04860)~U$"/>
    <s v="JP3802300008"/>
    <s v="U$"/>
    <n v="2776648"/>
    <n v="2538865"/>
    <n v="3900772"/>
    <n v="3013970"/>
    <n v="3136739"/>
    <x v="18"/>
  </r>
  <r>
    <x v="435"/>
    <x v="8"/>
    <s v="NET DEBT"/>
    <s v="D:FR7(WC18199)~U$"/>
    <s v="JP3802300008"/>
    <s v="U$"/>
    <n v="-5843165"/>
    <n v="-1985708"/>
    <n v="-3798353"/>
    <n v="-5275415"/>
    <n v="-6128410"/>
    <x v="18"/>
  </r>
  <r>
    <x v="436"/>
    <x v="8"/>
    <s v="NET INCOME - DILUTED"/>
    <s v="D:FR7(WC01705)~U$"/>
    <s v="JP3802300008"/>
    <s v="U$"/>
    <n v="1502221"/>
    <n v="866111"/>
    <n v="1544484"/>
    <n v="1912235"/>
    <n v="2005952"/>
    <x v="18"/>
  </r>
  <r>
    <x v="437"/>
    <x v="8"/>
    <s v="NET SALES OR REVENUES"/>
    <s v="D:FR7(WC01001)~U$"/>
    <s v="JP3802300008"/>
    <s v="U$"/>
    <n v="21164669"/>
    <n v="19255656"/>
    <n v="19396121"/>
    <n v="16098512"/>
    <n v="18734092"/>
    <x v="18"/>
  </r>
  <r>
    <x v="438"/>
    <x v="8"/>
    <s v="NON-OPERATING INTEREST INCOME"/>
    <s v="D:FR7(WC01266)~U$"/>
    <s v="JP3802300008"/>
    <s v="U$"/>
    <n v="112747"/>
    <n v="92720"/>
    <n v="41730"/>
    <n v="66245"/>
    <n v="279810"/>
    <x v="18"/>
  </r>
  <r>
    <x v="439"/>
    <x v="8"/>
    <s v="OPERATING EXPENSES - TOTAL"/>
    <s v="D:FR7(WC01249)~U$"/>
    <s v="JP3802300008"/>
    <s v="U$"/>
    <n v="18737736"/>
    <n v="17671462"/>
    <n v="17140006"/>
    <n v="13974538"/>
    <n v="16210787"/>
    <x v="18"/>
  </r>
  <r>
    <x v="440"/>
    <x v="8"/>
    <s v="OPERATING INCOME"/>
    <s v="D:FR7(WC01250)~U$"/>
    <s v="JP3802300008"/>
    <s v="U$"/>
    <n v="2426933"/>
    <n v="1584194"/>
    <n v="2256115"/>
    <n v="2123974"/>
    <n v="2523305"/>
    <x v="18"/>
  </r>
  <r>
    <x v="441"/>
    <x v="8"/>
    <s v="PRETAX INCOME"/>
    <s v="D:FR7(WC01401)~U$"/>
    <s v="JP3802300008"/>
    <s v="U$"/>
    <n v="2332611"/>
    <n v="1465306"/>
    <n v="2417677"/>
    <n v="2893409"/>
    <n v="2965417"/>
    <x v="18"/>
  </r>
  <r>
    <x v="442"/>
    <x v="8"/>
    <s v="PROPERTY, PLANT &amp; EQUIP - NET"/>
    <s v="D:FR7(WC02501)~U$"/>
    <s v="JP3802300008"/>
    <s v="U$"/>
    <n v="1497730"/>
    <n v="5138434"/>
    <n v="5080602"/>
    <n v="4133621"/>
    <n v="4137870"/>
    <x v="18"/>
  </r>
  <r>
    <x v="443"/>
    <x v="8"/>
    <s v="RECEIVABLES(NET)"/>
    <s v="D:FR7(WC02051)~U$"/>
    <s v="JP3802300008"/>
    <s v="U$"/>
    <n v="571864"/>
    <n v="663264"/>
    <n v="486842"/>
    <n v="439317"/>
    <n v="612771"/>
    <x v="18"/>
  </r>
  <r>
    <x v="444"/>
    <x v="8"/>
    <s v="SELLING, GENERAL &amp; ADMINISTRAT"/>
    <s v="D:FR7(WC01101)~U$"/>
    <s v="JP3802300008"/>
    <s v="U$"/>
    <n v="7446684"/>
    <n v="6019392"/>
    <n v="5824469"/>
    <n v="5036231"/>
    <n v="5874359"/>
    <x v="18"/>
  </r>
  <r>
    <x v="445"/>
    <x v="8"/>
    <s v="SHORT TERM DEBT &amp; CURRENT PORT"/>
    <s v="D:FR7(WC03051)~U$"/>
    <s v="JP3802300008"/>
    <s v="U$"/>
    <n v="137722"/>
    <n v="2202684"/>
    <n v="1184377"/>
    <n v="1788295"/>
    <n v="867520"/>
    <x v="18"/>
  </r>
  <r>
    <x v="446"/>
    <x v="8"/>
    <s v="TOTAL ASSETS"/>
    <s v="D:FR7(WC02999)~U$"/>
    <s v="JP3802300008"/>
    <s v="U$"/>
    <n v="18271134"/>
    <n v="22684336"/>
    <n v="22486590"/>
    <n v="22213901"/>
    <n v="22112653"/>
    <x v="18"/>
  </r>
  <r>
    <x v="447"/>
    <x v="8"/>
    <s v="TOTAL CAPITAL"/>
    <s v="D:FR7(WC03998)~U$"/>
    <s v="JP3802300008"/>
    <s v="U$"/>
    <n v="13693970"/>
    <n v="16457774"/>
    <n v="17053219"/>
    <n v="15475048"/>
    <n v="16602749"/>
    <x v="18"/>
  </r>
  <r>
    <x v="448"/>
    <x v="8"/>
    <s v="TOTAL DEBT"/>
    <s v="D:FR7(WC03255)~U$"/>
    <s v="JP3802300008"/>
    <s v="U$"/>
    <n v="4743836"/>
    <n v="9112630"/>
    <n v="7668371"/>
    <n v="5962087"/>
    <n v="4784574"/>
    <x v="18"/>
  </r>
  <r>
    <x v="449"/>
    <x v="8"/>
    <s v="TOTAL INTANGIBLE OT ASSETS-NET"/>
    <s v="D:FR7(WC02649)~U$"/>
    <s v="JP3802300008"/>
    <s v="U$"/>
    <n v="630251"/>
    <n v="718188"/>
    <n v="682286"/>
    <n v="592647"/>
    <n v="645959"/>
    <x v="18"/>
  </r>
  <r>
    <x v="450"/>
    <x v="8"/>
    <s v="TOTAL LIABILITIES"/>
    <s v="D:FR7(WC03351)~U$"/>
    <s v="JP3802300008"/>
    <s v="U$"/>
    <n v="9183278"/>
    <n v="13136489"/>
    <n v="11917365"/>
    <n v="10912645"/>
    <n v="9426958"/>
    <x v="18"/>
  </r>
  <r>
    <x v="451"/>
    <x v="8"/>
    <s v="TOTAL LIABILITIES &amp; SHAREHOLDE"/>
    <s v="D:FR7(WC03999)~U$"/>
    <s v="JP3802300008"/>
    <s v="U$"/>
    <n v="18271134"/>
    <n v="22684336"/>
    <n v="22486590"/>
    <n v="22213901"/>
    <n v="22112653"/>
    <x v="18"/>
  </r>
  <r>
    <x v="452"/>
    <x v="8"/>
    <s v="TOTAL SHAREHOLDERS EQUITY"/>
    <s v="D:FR7(WC03995)~U$"/>
    <s v="JP3802300008"/>
    <s v="U$"/>
    <n v="8672860"/>
    <n v="9169069"/>
    <n v="10152630"/>
    <n v="10925224"/>
    <n v="12333875"/>
    <x v="18"/>
  </r>
  <r>
    <x v="453"/>
    <x v="8"/>
    <s v="WORKING CAPITAL"/>
    <s v="D:FR7(WC03151)~U$"/>
    <s v="JP3802300008"/>
    <s v="U$"/>
    <n v="10732411"/>
    <n v="9659584"/>
    <n v="10399761"/>
    <n v="9112975"/>
    <n v="9801490"/>
    <x v="18"/>
  </r>
  <r>
    <x v="454"/>
    <x v="8"/>
    <s v="BK VAL PS 12M FWD"/>
    <s v="D:FR7(DIBV)~U$"/>
    <s v="JP3802300008"/>
    <s v="U$"/>
    <n v="34.53"/>
    <n v="34.200000000000003"/>
    <n v="36.619999999999997"/>
    <n v="33"/>
    <n v="42.41"/>
    <x v="196"/>
  </r>
  <r>
    <x v="455"/>
    <x v="8"/>
    <s v="EV 12M FWD"/>
    <s v="D:FR7(DIEV)~U$"/>
    <s v="JP3802300008"/>
    <s v="U$"/>
    <n v="57171563.990000002"/>
    <n v="56296578.899999999"/>
    <n v="66348067.920000002"/>
    <n v="49428166.030000001"/>
    <n v="61387078.600000001"/>
    <x v="197"/>
  </r>
  <r>
    <x v="456"/>
    <x v="8"/>
    <s v="NET INCOME 12M FWD"/>
    <s v="D:FR7(DINI)~U$"/>
    <s v="JP3802300008"/>
    <s v="U$"/>
    <n v="1765764.45"/>
    <n v="1586149.37"/>
    <n v="1951364.97"/>
    <n v="1570180.48"/>
    <n v="1993397.07"/>
    <x v="198"/>
  </r>
  <r>
    <x v="457"/>
    <x v="8"/>
    <s v="PRETAX PRF 12M FWD"/>
    <s v="D:FR7(DINP)~U$"/>
    <s v="JP3802300008"/>
    <s v="U$"/>
    <n v="2775695.53"/>
    <n v="2426072.58"/>
    <n v="2793639.69"/>
    <n v="2345913.1800000002"/>
    <n v="3009197.44"/>
    <x v="199"/>
  </r>
  <r>
    <x v="458"/>
    <x v="8"/>
    <s v="ROE 12M FWD"/>
    <s v="D:FR7(DIRE)~U$"/>
    <s v="JP3802300008"/>
    <s v="U$"/>
    <n v="0.17"/>
    <n v="0.15"/>
    <n v="0.16"/>
    <n v="0.11"/>
    <n v="0.11"/>
    <x v="200"/>
  </r>
  <r>
    <x v="459"/>
    <x v="8"/>
    <s v="SALES 12M FWD"/>
    <s v="D:FR7(DISL)~U$"/>
    <s v="JP3802300008"/>
    <s v="U$"/>
    <n v="23039945"/>
    <n v="22231570.920000002"/>
    <n v="21835646.420000002"/>
    <n v="17309938"/>
    <n v="20608768.82"/>
    <x v="201"/>
  </r>
  <r>
    <x v="460"/>
    <x v="8"/>
    <s v="DECREASE/INCREASE RECEIVABLES"/>
    <s v="D:FR7(WC04825)~U$"/>
    <s v="JP3802300008"/>
    <s v="U$"/>
    <n v="-58230"/>
    <n v="-39914"/>
    <n v="139438"/>
    <n v="-18546"/>
    <n v="-51024"/>
    <x v="18"/>
  </r>
  <r>
    <x v="461"/>
    <x v="8"/>
    <s v="DECREASE/INCR OTH ASTS/LIABILT"/>
    <s v="D:FR7(WC04830)~U$"/>
    <s v="JP3802300008"/>
    <s v="U$"/>
    <n v="367872"/>
    <n v="-324764"/>
    <n v="116341"/>
    <n v="-116524"/>
    <n v="31515"/>
    <x v="18"/>
  </r>
  <r>
    <x v="462"/>
    <x v="8"/>
    <s v="DECREASE/INCREASE INVENTORIES"/>
    <s v="D:FR7(WC04826)~U$"/>
    <s v="JP3802300008"/>
    <s v="U$"/>
    <n v="352460"/>
    <n v="-25545"/>
    <n v="334173"/>
    <n v="-356065"/>
    <n v="317643"/>
    <x v="18"/>
  </r>
  <r>
    <x v="463"/>
    <x v="8"/>
    <s v="DECREASE IN INVESTMENTS"/>
    <s v="D:FR7(WC04440)~U$"/>
    <s v="JP3802300008"/>
    <s v="U$"/>
    <n v="852409"/>
    <n v="800403"/>
    <n v="908820"/>
    <n v="886903"/>
    <n v="2658162"/>
    <x v="18"/>
  </r>
  <r>
    <x v="464"/>
    <x v="9"/>
    <s v="MARKET VALUE"/>
    <s v="U:NKE(MV)~U$"/>
    <s v="US6541061031"/>
    <s v="U$"/>
    <n v="110264.2"/>
    <n v="142736.9"/>
    <n v="199918.1"/>
    <n v="131571.5"/>
    <n v="117006.8"/>
    <x v="202"/>
  </r>
  <r>
    <x v="465"/>
    <x v="9"/>
    <s v="PER"/>
    <s v="U:NKE(PE)"/>
    <s v="US6541061031"/>
    <s v="U$"/>
    <n v="35.4"/>
    <n v="71.900000000000006"/>
    <n v="44"/>
    <n v="27.7"/>
    <n v="29.6"/>
    <x v="203"/>
  </r>
  <r>
    <x v="466"/>
    <x v="9"/>
    <s v="12MTH FORWARD EPS"/>
    <s v="U:NKE(EPS1FD12)~U$"/>
    <s v="US6541061031"/>
    <s v="U$"/>
    <n v="3.0230000000000001"/>
    <n v="2.71"/>
    <n v="4.5369999999999999"/>
    <n v="3.9870000000000001"/>
    <n v="3.94"/>
    <x v="204"/>
  </r>
  <r>
    <x v="467"/>
    <x v="9"/>
    <e v="#VALUE!"/>
    <s v="529E(U:NKE)"/>
    <s v="US6541061031"/>
    <s v="U$"/>
    <n v="3.73"/>
    <n v="2.2850000000000001"/>
    <n v="2.8730000000000002"/>
    <n v="3.726"/>
    <n v="4.0990000000000002"/>
    <x v="205"/>
  </r>
  <r>
    <x v="467"/>
    <x v="9"/>
    <e v="#VALUE!"/>
    <s v="384E(U:NKE)"/>
    <s v="US6541061031"/>
    <s v="U$"/>
    <n v="24.35"/>
    <n v="36.302"/>
    <n v="28.488"/>
    <n v="21.527999999999999"/>
    <n v="19.981000000000002"/>
    <x v="206"/>
  </r>
  <r>
    <x v="467"/>
    <x v="9"/>
    <e v="#VALUE!"/>
    <s v="380E(U:NKE)"/>
    <s v="US6541061031"/>
    <s v="U$"/>
    <n v="21.14"/>
    <n v="30.728000000000002"/>
    <n v="25.896999999999998"/>
    <n v="19.594999999999999"/>
    <n v="18"/>
    <x v="207"/>
  </r>
  <r>
    <x v="467"/>
    <x v="9"/>
    <e v="#VALUE!"/>
    <s v="157E(U:NKE)"/>
    <s v="US6541061031"/>
    <s v="U$"/>
    <n v="3.0285000000000002"/>
    <n v="2.1337999999999999"/>
    <n v="2.3014999999999999"/>
    <n v="3.5503999999999998"/>
    <n v="3.5388999999999999"/>
    <x v="208"/>
  </r>
  <r>
    <x v="467"/>
    <x v="9"/>
    <e v="#VALUE!"/>
    <s v="388E(U:NKE)"/>
    <s v="US6541061031"/>
    <s v="U$"/>
    <n v="3.1739999999999999"/>
    <n v="4.3520000000000003"/>
    <n v="4.7080000000000002"/>
    <n v="3.0779999999999998"/>
    <n v="2.62"/>
    <x v="209"/>
  </r>
  <r>
    <x v="467"/>
    <x v="9"/>
    <e v="#VALUE!"/>
    <s v="334E(U:NKE)"/>
    <s v="US6541061031"/>
    <s v="U$"/>
    <n v="9.7000000000000003E-2"/>
    <n v="0.39100000000000001"/>
    <n v="-0.53500000000000003"/>
    <n v="-0.314"/>
    <n v="0.214"/>
    <x v="210"/>
  </r>
  <r>
    <x v="467"/>
    <x v="9"/>
    <e v="#VALUE!"/>
    <s v="338E(U:NKE)"/>
    <s v="US6541061031"/>
    <s v="U$"/>
    <n v="5.0000000000000001E-3"/>
    <n v="1.2999999999999999E-2"/>
    <n v="-2.1999999999999999E-2"/>
    <n v="-1.4999999999999999E-2"/>
    <n v="1.0999999999999999E-2"/>
    <x v="211"/>
  </r>
  <r>
    <x v="467"/>
    <x v="9"/>
    <e v="#VALUE!"/>
    <s v="251E(U:NKE)"/>
    <s v="US6541061031"/>
    <s v="U$"/>
    <n v="1.59"/>
    <n v="1.96"/>
    <n v="1.6"/>
    <n v="1.59"/>
    <n v="1.3"/>
    <x v="212"/>
  </r>
  <r>
    <x v="467"/>
    <x v="9"/>
    <e v="#VALUE!"/>
    <s v="250E(U:NKE)"/>
    <s v="US6541061031"/>
    <s v="U$"/>
    <n v="1.19"/>
    <n v="1.1200000000000001"/>
    <n v="1.1000000000000001"/>
    <n v="1.1499999999999999"/>
    <n v="1.1200000000000001"/>
    <x v="213"/>
  </r>
  <r>
    <x v="467"/>
    <x v="9"/>
    <e v="#VALUE!"/>
    <s v="553E(U:NKE)"/>
    <s v="US6541061031"/>
    <s v="U$"/>
    <n v="16.349"/>
    <n v="20.987200000000001"/>
    <n v="14.901899999999999"/>
    <n v="10.2682"/>
    <n v="10.952999999999999"/>
    <x v="214"/>
  </r>
  <r>
    <x v="468"/>
    <x v="9"/>
    <s v="12MTH TRAILING EPS"/>
    <s v="U:NKE(EPS1TR12)~U$"/>
    <s v="US6541061031"/>
    <s v="U$"/>
    <n v="2.5920000000000001"/>
    <n v="1.86"/>
    <n v="3.8"/>
    <n v="3.74"/>
    <n v="3.3929999999999998"/>
    <x v="215"/>
  </r>
  <r>
    <x v="469"/>
    <x v="9"/>
    <s v="DIV.PER SHR."/>
    <s v="U:NKE(DPS)~U$"/>
    <s v="US6541061031"/>
    <s v="U$"/>
    <n v="0.88"/>
    <n v="0.98"/>
    <n v="1.1000000000000001"/>
    <n v="1.22"/>
    <n v="1.36"/>
    <x v="216"/>
  </r>
  <r>
    <x v="467"/>
    <x v="9"/>
    <e v="#VALUE!"/>
    <s v="354E(U:NKE)"/>
    <s v="US6541061031"/>
    <s v="U$"/>
    <n v="1.163"/>
    <n v="0.877"/>
    <n v="0.76200000000000001"/>
    <n v="1.2150000000000001"/>
    <n v="1.508"/>
    <x v="217"/>
  </r>
  <r>
    <x v="466"/>
    <x v="9"/>
    <s v="12MTH FORWARD EPS"/>
    <s v="U:NKE(EPS1FD12)~U$"/>
    <s v="US6541061031"/>
    <s v="U$"/>
    <n v="3.0230000000000001"/>
    <n v="2.71"/>
    <n v="4.5369999999999999"/>
    <n v="3.9870000000000001"/>
    <n v="3.94"/>
    <x v="204"/>
  </r>
  <r>
    <x v="465"/>
    <x v="9"/>
    <s v="PER"/>
    <s v="U:NKE(PE)"/>
    <s v="US6541061031"/>
    <s v="U$"/>
    <n v="35.4"/>
    <n v="71.900000000000006"/>
    <n v="44"/>
    <n v="27.7"/>
    <n v="29.6"/>
    <x v="203"/>
  </r>
  <r>
    <x v="464"/>
    <x v="9"/>
    <s v="MARKET VALUE"/>
    <s v="U:NKE(MV)~U$"/>
    <s v="US6541061031"/>
    <s v="U$"/>
    <n v="110264.2"/>
    <n v="142736.9"/>
    <n v="199918.1"/>
    <n v="131571.5"/>
    <n v="117006.8"/>
    <x v="202"/>
  </r>
  <r>
    <x v="470"/>
    <x v="9"/>
    <s v="EARNINGS PER SHR"/>
    <s v="U:NKE(EPS)~U$"/>
    <s v="US6541061031"/>
    <s v="U$"/>
    <n v="2.4900000000000002"/>
    <n v="1.59"/>
    <n v="3.56"/>
    <n v="3.75"/>
    <n v="3.23"/>
    <x v="218"/>
  </r>
  <r>
    <x v="467"/>
    <x v="9"/>
    <e v="#VALUE!"/>
    <s v="897E(U:NKE)"/>
    <s v="US6541061031"/>
    <s v="NA"/>
    <n v="0.92930000000000001"/>
    <n v="1.2242"/>
    <n v="1.2082999999999999"/>
    <n v="1.1896"/>
    <n v="1.1999"/>
    <x v="219"/>
  </r>
  <r>
    <x v="467"/>
    <x v="9"/>
    <e v="#VALUE!"/>
    <s v="400E(U:NKE)"/>
    <s v="US6541061031"/>
    <s v="NA"/>
    <n v="0.2026"/>
    <n v="0.30330000000000001"/>
    <n v="0.30969999999999998"/>
    <n v="0.32819999999999999"/>
    <n v="0.34699999999999998"/>
    <x v="220"/>
  </r>
  <r>
    <x v="471"/>
    <x v="9"/>
    <s v="ACCOUNTS PAYABLE"/>
    <s v="U:NKE(WC03040)~U$"/>
    <s v="US6541061031"/>
    <s v="U$"/>
    <n v="2612000"/>
    <n v="2248000"/>
    <n v="2836000"/>
    <n v="3358000"/>
    <n v="2862000"/>
    <x v="221"/>
  </r>
  <r>
    <x v="472"/>
    <x v="9"/>
    <s v="AMORTIZATION OF DEFERRED CHARG"/>
    <s v="U:NKE(WC01150)~U$"/>
    <s v="US6541061031"/>
    <s v="U$"/>
    <n v="0"/>
    <n v="0"/>
    <n v="0"/>
    <n v="0"/>
    <n v="0"/>
    <x v="14"/>
  </r>
  <r>
    <x v="473"/>
    <x v="9"/>
    <s v="AMORTIZATION-INTANGIBLE ASSETS"/>
    <s v="U:NKE(WC04050)~U$"/>
    <s v="US6541061031"/>
    <s v="U$"/>
    <n v="15000"/>
    <s v="NA"/>
    <n v="53000"/>
    <n v="123000"/>
    <n v="156000"/>
    <x v="222"/>
  </r>
  <r>
    <x v="474"/>
    <x v="9"/>
    <s v="AMORTIZATION OF INTANGIBLES"/>
    <s v="U:NKE(WC01149)~U$"/>
    <s v="US6541061031"/>
    <s v="U$"/>
    <n v="15000"/>
    <s v="NA"/>
    <n v="53000"/>
    <n v="123000"/>
    <n v="156000"/>
    <x v="222"/>
  </r>
  <r>
    <x v="475"/>
    <x v="9"/>
    <s v="BOOK VALUE-OUT SHARES-FISCAL"/>
    <s v="U:NKE(WC05491)~U$"/>
    <s v="US6541061031"/>
    <s v="U$"/>
    <n v="5.7649999999999997"/>
    <n v="5.17"/>
    <n v="8.0909999999999993"/>
    <n v="9.7270000000000003"/>
    <n v="9.141"/>
    <x v="223"/>
  </r>
  <r>
    <x v="476"/>
    <x v="9"/>
    <s v="BOOK VALUE PER SHARE"/>
    <s v="U:NKE(WC05476)~U$"/>
    <s v="US6541061031"/>
    <s v="U$"/>
    <n v="5.9980000000000002"/>
    <n v="6.7560000000000002"/>
    <n v="9.4280000000000008"/>
    <n v="9.8529999999999998"/>
    <n v="9.3249999999999993"/>
    <x v="18"/>
  </r>
  <r>
    <x v="477"/>
    <x v="9"/>
    <s v="CAPITAL EXPENDITURES"/>
    <s v="U:NKE(WC04601)~U$"/>
    <s v="US6541061031"/>
    <s v="U$"/>
    <n v="1119000"/>
    <n v="1086000"/>
    <n v="695000"/>
    <n v="758000"/>
    <n v="969000"/>
    <x v="224"/>
  </r>
  <r>
    <x v="478"/>
    <x v="9"/>
    <s v="CASH"/>
    <s v="U:NKE(WC02003)~U$"/>
    <s v="US6541061031"/>
    <s v="U$"/>
    <n v="4466000"/>
    <n v="8348000"/>
    <n v="9889000"/>
    <n v="8574000"/>
    <n v="7441000"/>
    <x v="225"/>
  </r>
  <r>
    <x v="479"/>
    <x v="9"/>
    <s v="CASH - GENERIC"/>
    <s v="U:NKE(WC02005)~U$"/>
    <s v="US6541061031"/>
    <s v="U$"/>
    <n v="5279000"/>
    <n v="8787000"/>
    <n v="13476000"/>
    <n v="12997000"/>
    <n v="10675000"/>
    <x v="226"/>
  </r>
  <r>
    <x v="480"/>
    <x v="9"/>
    <s v="CASH &amp; SHORT TERM INVESTMENTS"/>
    <s v="U:NKE(WC02001)~U$"/>
    <s v="US6541061031"/>
    <s v="U$"/>
    <n v="5279000"/>
    <n v="8787000"/>
    <n v="13476000"/>
    <n v="12997000"/>
    <n v="10675000"/>
    <x v="226"/>
  </r>
  <r>
    <x v="481"/>
    <x v="9"/>
    <s v="CASH DIVIDENDS PAID - TOTAL"/>
    <s v="U:NKE(WC04551)~U$"/>
    <s v="US6541061031"/>
    <s v="U$"/>
    <n v="1332000"/>
    <n v="1452000"/>
    <n v="1638000"/>
    <n v="1837000"/>
    <n v="2012000"/>
    <x v="227"/>
  </r>
  <r>
    <x v="482"/>
    <x v="9"/>
    <s v="CASH FLOW PER SHARE"/>
    <s v="U:NKE(WC05501)~U$"/>
    <s v="US6541061031"/>
    <s v="U$"/>
    <n v="3.6669999999999998"/>
    <n v="2.3940000000000001"/>
    <n v="4.3609999999999998"/>
    <n v="4.2270000000000003"/>
    <n v="4.1429999999999998"/>
    <x v="18"/>
  </r>
  <r>
    <x v="483"/>
    <x v="9"/>
    <s v="CASH FLOW PER SHARE - FIS YR"/>
    <s v="U:NKE(WC05502)~U$"/>
    <s v="US6541061031"/>
    <s v="U$"/>
    <n v="3.3"/>
    <n v="2.3439999999999999"/>
    <n v="4.1079999999999997"/>
    <n v="4.2510000000000003"/>
    <n v="4.048"/>
    <x v="228"/>
  </r>
  <r>
    <x v="484"/>
    <x v="9"/>
    <s v="COMMON DIVIDENDS (CASH)"/>
    <s v="U:NKE(WC05376)~U$"/>
    <s v="US6541061031"/>
    <s v="U$"/>
    <n v="1332000"/>
    <n v="1452000"/>
    <n v="1638000"/>
    <n v="1837000"/>
    <n v="2012000"/>
    <x v="227"/>
  </r>
  <r>
    <x v="485"/>
    <x v="9"/>
    <s v="COMMON SHAREHOLDERS' EQUITY"/>
    <s v="U:NKE(WC03501)~U$"/>
    <s v="US6541061031"/>
    <s v="U$"/>
    <n v="9040000"/>
    <n v="8055000"/>
    <n v="12767000"/>
    <n v="15281000"/>
    <n v="14004000"/>
    <x v="229"/>
  </r>
  <r>
    <x v="486"/>
    <x v="9"/>
    <s v="COMMON STOCK"/>
    <s v="U:NKE(WC03480)~U$"/>
    <s v="US6541061031"/>
    <s v="U$"/>
    <n v="3000"/>
    <n v="3000"/>
    <n v="3000"/>
    <n v="3000"/>
    <n v="3000"/>
    <x v="230"/>
  </r>
  <r>
    <x v="487"/>
    <x v="9"/>
    <s v="COST OF GOODS SOLD (EXCL DEP)"/>
    <s v="U:NKE(WC01051)~U$"/>
    <s v="US6541061031"/>
    <s v="U$"/>
    <n v="20923000"/>
    <n v="20441000"/>
    <n v="23744000"/>
    <n v="24391000"/>
    <n v="28066000"/>
    <x v="231"/>
  </r>
  <r>
    <x v="488"/>
    <x v="9"/>
    <s v="CURRENT ASSETS - TOTAL"/>
    <s v="U:NKE(WC02201)~U$"/>
    <s v="US6541061031"/>
    <s v="U$"/>
    <n v="16525000"/>
    <n v="20556000"/>
    <n v="26291000"/>
    <n v="28213000"/>
    <n v="25202000"/>
    <x v="232"/>
  </r>
  <r>
    <x v="489"/>
    <x v="9"/>
    <s v="CURRENT LIABILITIES-TOTAL"/>
    <s v="U:NKE(WC03101)~U$"/>
    <s v="US6541061031"/>
    <s v="U$"/>
    <n v="7866000"/>
    <n v="8284000"/>
    <n v="9674000"/>
    <n v="10730000"/>
    <n v="9256000"/>
    <x v="233"/>
  </r>
  <r>
    <x v="490"/>
    <x v="9"/>
    <s v="DEFERRED TAXES"/>
    <s v="U:NKE(WC03263)~U$"/>
    <s v="US6541061031"/>
    <s v="U$"/>
    <n v="1340000"/>
    <n v="358000"/>
    <n v="34000"/>
    <n v="-1208000"/>
    <n v="-1212000"/>
    <x v="234"/>
  </r>
  <r>
    <x v="491"/>
    <x v="9"/>
    <s v="DEPRECIATION AND DEPLETION"/>
    <s v="U:NKE(WC04049)~U$"/>
    <s v="US6541061031"/>
    <s v="U$"/>
    <n v="705000"/>
    <n v="721000"/>
    <n v="744000"/>
    <n v="717000"/>
    <n v="703000"/>
    <x v="235"/>
  </r>
  <r>
    <x v="492"/>
    <x v="9"/>
    <s v="DEPRECIATION/DEPLETION/AMORT"/>
    <s v="U:NKE(WC01151)~U$"/>
    <s v="US6541061031"/>
    <s v="U$"/>
    <n v="720000"/>
    <n v="721000"/>
    <n v="797000"/>
    <n v="840000"/>
    <n v="859000"/>
    <x v="236"/>
  </r>
  <r>
    <x v="493"/>
    <x v="9"/>
    <s v="DIVIDENDS PER SHARE"/>
    <s v="U:NKE(WC05101)~U$"/>
    <s v="US6541061031"/>
    <s v="U$"/>
    <n v="0.90500000000000003"/>
    <n v="1.01"/>
    <n v="1.1299999999999999"/>
    <n v="1.2549999999999999"/>
    <n v="1.39"/>
    <x v="18"/>
  </r>
  <r>
    <x v="494"/>
    <x v="9"/>
    <s v="DIVIDENDS PER SHARE - FISCAL"/>
    <s v="U:NKE(WC05110)~U$"/>
    <s v="US6541061031"/>
    <s v="U$"/>
    <n v="0.86"/>
    <n v="0.95499999999999996"/>
    <n v="1.07"/>
    <n v="1.19"/>
    <n v="1.325"/>
    <x v="237"/>
  </r>
  <r>
    <x v="495"/>
    <x v="9"/>
    <s v="EARNINGS BEF INTEREST &amp; TAXES"/>
    <s v="U:NKE(WC18191)~U$"/>
    <s v="US6541061031"/>
    <s v="U$"/>
    <n v="4932000"/>
    <n v="3038000"/>
    <n v="6957000"/>
    <n v="6950000"/>
    <n v="6492000"/>
    <x v="238"/>
  </r>
  <r>
    <x v="496"/>
    <x v="9"/>
    <s v="EBIT &amp; DEPRECIATION"/>
    <s v="U:NKE(WC18198)~U$"/>
    <s v="US6541061031"/>
    <s v="U$"/>
    <n v="5652000"/>
    <n v="3759000"/>
    <n v="7754000"/>
    <n v="7790000"/>
    <n v="7351000"/>
    <x v="239"/>
  </r>
  <r>
    <x v="497"/>
    <x v="9"/>
    <s v="EARNINGS PER SHARE"/>
    <s v="U:NKE(WC05201)~U$"/>
    <s v="US6541061031"/>
    <s v="U$"/>
    <n v="2.87"/>
    <n v="1.7529999999999999"/>
    <n v="3.8149999999999999"/>
    <n v="3.5430000000000001"/>
    <n v="3.4249999999999998"/>
    <x v="18"/>
  </r>
  <r>
    <x v="498"/>
    <x v="9"/>
    <s v="FISCAL EPS-FULLY DILUTED-YR"/>
    <s v="U:NKE(WC10030)~U$"/>
    <s v="US6541061031"/>
    <s v="U$"/>
    <n v="2.4889999999999999"/>
    <n v="1.595"/>
    <n v="3.5579999999999998"/>
    <n v="3.7530000000000001"/>
    <n v="3.23"/>
    <x v="240"/>
  </r>
  <r>
    <x v="499"/>
    <x v="9"/>
    <s v="ENTERPRISE VALUE"/>
    <s v="U:NKE(WC18100)~U$"/>
    <s v="US6541061031"/>
    <s v="U$"/>
    <n v="119529520"/>
    <n v="154457640"/>
    <n v="211272880"/>
    <n v="183146350"/>
    <n v="159516320"/>
    <x v="241"/>
  </r>
  <r>
    <x v="500"/>
    <x v="9"/>
    <s v="GROSS INCOME"/>
    <s v="U:NKE(WC01100)~U$"/>
    <s v="US6541061031"/>
    <s v="U$"/>
    <n v="17474000"/>
    <n v="16241000"/>
    <n v="19997000"/>
    <n v="21479000"/>
    <n v="22292000"/>
    <x v="242"/>
  </r>
  <r>
    <x v="501"/>
    <x v="9"/>
    <s v="INCOME TAXES"/>
    <s v="U:NKE(WC01451)~U$"/>
    <s v="US6541061031"/>
    <s v="U$"/>
    <n v="772000"/>
    <n v="348000"/>
    <n v="934000"/>
    <n v="605000"/>
    <n v="1131000"/>
    <x v="243"/>
  </r>
  <r>
    <x v="502"/>
    <x v="9"/>
    <s v="INCREASE/DECREASE IN CASH/SHOR"/>
    <s v="U:NKE(WC04851)~U$"/>
    <s v="US6541061031"/>
    <s v="U$"/>
    <n v="217000"/>
    <n v="3882000"/>
    <n v="1541000"/>
    <n v="-1315000"/>
    <n v="-1133000"/>
    <x v="244"/>
  </r>
  <r>
    <x v="503"/>
    <x v="9"/>
    <s v="INTEREST EXPENSE ON DEBT"/>
    <s v="U:NKE(WC01251)~U$"/>
    <s v="US6541061031"/>
    <s v="U$"/>
    <n v="131000"/>
    <n v="151000"/>
    <n v="296000"/>
    <n v="299000"/>
    <n v="291000"/>
    <x v="245"/>
  </r>
  <r>
    <x v="504"/>
    <x v="9"/>
    <s v="TOTAL INVENTORIES"/>
    <s v="U:NKE(WC02101)~U$"/>
    <s v="US6541061031"/>
    <s v="U$"/>
    <n v="5622000"/>
    <n v="7367000"/>
    <n v="6854000"/>
    <n v="8420000"/>
    <n v="8454000"/>
    <x v="246"/>
  </r>
  <r>
    <x v="505"/>
    <x v="9"/>
    <s v="LONG TERM DEBT"/>
    <s v="U:NKE(WC03251)~U$"/>
    <s v="US6541061031"/>
    <s v="U$"/>
    <n v="3806000"/>
    <n v="9406000"/>
    <n v="9413000"/>
    <n v="8920000"/>
    <n v="8927000"/>
    <x v="247"/>
  </r>
  <r>
    <x v="506"/>
    <x v="9"/>
    <s v="MARKET CAPITALIZATION"/>
    <s v="U:NKE(WC08001)~U$"/>
    <s v="US6541061031"/>
    <s v="U$"/>
    <n v="158854080"/>
    <n v="220410260"/>
    <n v="263005260"/>
    <n v="183822710"/>
    <n v="166329240"/>
    <x v="18"/>
  </r>
  <r>
    <x v="507"/>
    <x v="9"/>
    <s v="NET CASH FLOW - FINANCING"/>
    <s v="U:NKE(WC04890)~U$"/>
    <s v="US6541061031"/>
    <s v="U$"/>
    <n v="-5293000"/>
    <n v="2491000"/>
    <n v="-1459000"/>
    <n v="-4836000"/>
    <n v="-7447000"/>
    <x v="248"/>
  </r>
  <r>
    <x v="508"/>
    <x v="9"/>
    <s v="NET CASH FLOW - INVESTING"/>
    <s v="U:NKE(WC04870)~U$"/>
    <s v="US6541061031"/>
    <s v="U$"/>
    <n v="264000"/>
    <n v="1028000"/>
    <n v="3800000"/>
    <n v="1524000"/>
    <n v="-564000"/>
    <x v="249"/>
  </r>
  <r>
    <x v="509"/>
    <x v="9"/>
    <s v="NET CASH FLOW-OPERATING ACTIVS"/>
    <s v="U:NKE(WC04860)~U$"/>
    <s v="US6541061031"/>
    <s v="U$"/>
    <n v="5903000"/>
    <n v="2485000"/>
    <n v="6657000"/>
    <n v="5188000"/>
    <n v="5841000"/>
    <x v="250"/>
  </r>
  <r>
    <x v="510"/>
    <x v="9"/>
    <s v="NET DEBT"/>
    <s v="U:NKE(WC18199)~U$"/>
    <s v="US6541061031"/>
    <s v="U$"/>
    <n v="-1426000"/>
    <n v="870000"/>
    <n v="-4061000"/>
    <n v="-3567000"/>
    <n v="-1742000"/>
    <x v="251"/>
  </r>
  <r>
    <x v="511"/>
    <x v="9"/>
    <s v="NET INCOME - DILUTED"/>
    <s v="U:NKE(WC01705)~U$"/>
    <s v="US6541061031"/>
    <s v="U$"/>
    <n v="4029000"/>
    <n v="2539000"/>
    <n v="5727000"/>
    <n v="6046000"/>
    <n v="5070000"/>
    <x v="252"/>
  </r>
  <r>
    <x v="512"/>
    <x v="9"/>
    <s v="NET SALES OR REVENUES"/>
    <s v="U:NKE(WC01001)~U$"/>
    <s v="US6541061031"/>
    <s v="U$"/>
    <n v="39117000"/>
    <n v="37403000"/>
    <n v="44538000"/>
    <n v="46710000"/>
    <n v="51217000"/>
    <x v="253"/>
  </r>
  <r>
    <x v="513"/>
    <x v="9"/>
    <s v="NON-OPERATING INTEREST INCOME"/>
    <s v="U:NKE(WC01266)~U$"/>
    <s v="US6541061031"/>
    <s v="U$"/>
    <n v="82000"/>
    <n v="62000"/>
    <n v="34000"/>
    <n v="94000"/>
    <n v="297000"/>
    <x v="254"/>
  </r>
  <r>
    <x v="514"/>
    <x v="9"/>
    <s v="OPERATING EXPENSES - TOTAL"/>
    <s v="U:NKE(WC01249)~U$"/>
    <s v="US6541061031"/>
    <s v="U$"/>
    <n v="34345000"/>
    <n v="34288000"/>
    <n v="37352000"/>
    <n v="40035000"/>
    <n v="45302000"/>
    <x v="255"/>
  </r>
  <r>
    <x v="515"/>
    <x v="9"/>
    <s v="OPERATING INCOME"/>
    <s v="U:NKE(WC01250)~U$"/>
    <s v="US6541061031"/>
    <s v="U$"/>
    <n v="4772000"/>
    <n v="3115000"/>
    <n v="7186000"/>
    <n v="6675000"/>
    <n v="5915000"/>
    <x v="256"/>
  </r>
  <r>
    <x v="516"/>
    <x v="9"/>
    <s v="PRETAX INCOME"/>
    <s v="U:NKE(WC01401)~U$"/>
    <s v="US6541061031"/>
    <s v="U$"/>
    <n v="4801000"/>
    <n v="2887000"/>
    <n v="6661000"/>
    <n v="6651000"/>
    <n v="6201000"/>
    <x v="257"/>
  </r>
  <r>
    <x v="517"/>
    <x v="9"/>
    <s v="PROPERTY, PLANT &amp; EQUIP - NET"/>
    <s v="U:NKE(WC02501)~U$"/>
    <s v="US6541061031"/>
    <s v="U$"/>
    <n v="4744000"/>
    <n v="7963000"/>
    <n v="8017000"/>
    <n v="7717000"/>
    <n v="8004000"/>
    <x v="258"/>
  </r>
  <r>
    <x v="518"/>
    <x v="9"/>
    <s v="RECEIVABLES(NET)"/>
    <s v="U:NKE(WC02051)~U$"/>
    <s v="US6541061031"/>
    <s v="U$"/>
    <n v="4272000"/>
    <n v="2749000"/>
    <n v="4463000"/>
    <n v="4667000"/>
    <n v="4131000"/>
    <x v="259"/>
  </r>
  <r>
    <x v="519"/>
    <x v="9"/>
    <s v="SELLING, GENERAL &amp; ADMINISTRAT"/>
    <s v="U:NKE(WC01101)~U$"/>
    <s v="US6541061031"/>
    <s v="U$"/>
    <n v="12702000"/>
    <n v="13126000"/>
    <n v="12811000"/>
    <n v="14804000"/>
    <n v="16377000"/>
    <x v="260"/>
  </r>
  <r>
    <x v="520"/>
    <x v="9"/>
    <s v="SHORT TERM DEBT &amp; CURRENT PORT"/>
    <s v="U:NKE(WC03051)~U$"/>
    <s v="US6541061031"/>
    <s v="U$"/>
    <n v="47000"/>
    <n v="251000"/>
    <n v="2000"/>
    <n v="510000"/>
    <n v="6000"/>
    <x v="261"/>
  </r>
  <r>
    <x v="521"/>
    <x v="9"/>
    <s v="TOTAL ASSETS"/>
    <s v="U:NKE(WC02999)~U$"/>
    <s v="US6541061031"/>
    <s v="U$"/>
    <n v="21712000"/>
    <n v="29016000"/>
    <n v="34819000"/>
    <n v="36500000"/>
    <n v="33761000"/>
    <x v="262"/>
  </r>
  <r>
    <x v="522"/>
    <x v="9"/>
    <s v="TOTAL CAPITAL"/>
    <s v="U:NKE(WC03998)~U$"/>
    <s v="US6541061031"/>
    <s v="U$"/>
    <n v="12846000"/>
    <n v="17461000"/>
    <n v="22180000"/>
    <n v="24201000"/>
    <n v="22931000"/>
    <x v="263"/>
  </r>
  <r>
    <x v="523"/>
    <x v="9"/>
    <s v="TOTAL DEBT"/>
    <s v="U:NKE(WC03255)~U$"/>
    <s v="US6541061031"/>
    <s v="U$"/>
    <n v="3853000"/>
    <n v="9657000"/>
    <n v="9415000"/>
    <n v="9430000"/>
    <n v="8933000"/>
    <x v="264"/>
  </r>
  <r>
    <x v="524"/>
    <x v="9"/>
    <s v="TOTAL INTANGIBLE OT ASSETS-NET"/>
    <s v="U:NKE(WC02649)~U$"/>
    <s v="US6541061031"/>
    <s v="U$"/>
    <n v="437000"/>
    <n v="497000"/>
    <n v="511000"/>
    <n v="570000"/>
    <n v="555000"/>
    <x v="265"/>
  </r>
  <r>
    <x v="525"/>
    <x v="9"/>
    <s v="TOTAL LIABILITIES"/>
    <s v="U:NKE(WC03351)~U$"/>
    <s v="US6541061031"/>
    <s v="U$"/>
    <n v="12672000"/>
    <n v="20961000"/>
    <n v="22052000"/>
    <n v="21219000"/>
    <n v="19757000"/>
    <x v="266"/>
  </r>
  <r>
    <x v="526"/>
    <x v="9"/>
    <s v="TOTAL LIABILITIES &amp; SHAREHOLDE"/>
    <s v="U:NKE(WC03999)~U$"/>
    <s v="US6541061031"/>
    <s v="U$"/>
    <n v="21712000"/>
    <n v="29016000"/>
    <n v="34819000"/>
    <n v="36500000"/>
    <n v="33761000"/>
    <x v="262"/>
  </r>
  <r>
    <x v="527"/>
    <x v="9"/>
    <s v="TOTAL SHAREHOLDERS EQUITY"/>
    <s v="U:NKE(WC03995)~U$"/>
    <s v="US6541061031"/>
    <s v="U$"/>
    <n v="9040000"/>
    <n v="8055000"/>
    <n v="12767000"/>
    <n v="15281000"/>
    <n v="14004000"/>
    <x v="229"/>
  </r>
  <r>
    <x v="528"/>
    <x v="9"/>
    <s v="WORKING CAPITAL"/>
    <s v="U:NKE(WC03151)~U$"/>
    <s v="US6541061031"/>
    <s v="U$"/>
    <n v="8659000"/>
    <n v="12272000"/>
    <n v="16617000"/>
    <n v="17483000"/>
    <n v="15946000"/>
    <x v="267"/>
  </r>
  <r>
    <x v="529"/>
    <x v="9"/>
    <s v="BK VAL PS 12M FWD"/>
    <s v="U:NKE(DIBV)~U$"/>
    <s v="US6541061031"/>
    <s v="U$"/>
    <n v="5.39"/>
    <n v="5.46"/>
    <n v="10.5"/>
    <n v="10.14"/>
    <n v="8.7200000000000006"/>
    <x v="268"/>
  </r>
  <r>
    <x v="530"/>
    <x v="9"/>
    <s v="EV 12M FWD"/>
    <s v="U:NKE(DIEV)~U$"/>
    <s v="US6541061031"/>
    <s v="U$"/>
    <n v="129942800"/>
    <n v="174146000"/>
    <n v="225135800"/>
    <n v="168383900"/>
    <n v="156440800"/>
    <x v="269"/>
  </r>
  <r>
    <x v="531"/>
    <x v="9"/>
    <s v="NET INCOME 12M FWD"/>
    <s v="U:NKE(DINI)~U$"/>
    <s v="US6541061031"/>
    <s v="U$"/>
    <n v="4731734"/>
    <n v="4138828"/>
    <n v="7189512"/>
    <n v="6243973"/>
    <n v="6039051"/>
    <x v="270"/>
  </r>
  <r>
    <x v="532"/>
    <x v="9"/>
    <s v="PRETAX PRF 12M FWD"/>
    <s v="U:NKE(DINP)~U$"/>
    <s v="US6541061031"/>
    <s v="U$"/>
    <n v="5636770"/>
    <n v="4800168"/>
    <n v="8389930"/>
    <n v="7319410"/>
    <n v="7333316"/>
    <x v="271"/>
  </r>
  <r>
    <x v="533"/>
    <x v="9"/>
    <s v="ROE 12M FWD"/>
    <s v="U:NKE(DIRE)~U$"/>
    <s v="US6541061031"/>
    <s v="U$"/>
    <n v="49.65"/>
    <n v="50.9"/>
    <n v="48.39"/>
    <n v="39.56"/>
    <n v="43.35"/>
    <x v="272"/>
  </r>
  <r>
    <x v="534"/>
    <x v="9"/>
    <s v="SALES 12M FWD"/>
    <s v="U:NKE(DISL)~U$"/>
    <s v="US6541061031"/>
    <s v="U$"/>
    <n v="43034110"/>
    <n v="41300420"/>
    <n v="51735040"/>
    <n v="51902690"/>
    <n v="55110060"/>
    <x v="273"/>
  </r>
  <r>
    <x v="535"/>
    <x v="9"/>
    <s v="DECREASE/INCREASE RECEIVABLES"/>
    <s v="U:NKE(WC04825)~U$"/>
    <s v="US6541061031"/>
    <s v="U$"/>
    <n v="-270000"/>
    <n v="1239000"/>
    <n v="-1606000"/>
    <n v="-504000"/>
    <n v="489000"/>
    <x v="274"/>
  </r>
  <r>
    <x v="536"/>
    <x v="9"/>
    <s v="DECREASE/INCR OTH ASTS/LIABILT"/>
    <s v="U:NKE(WC04830)~U$"/>
    <s v="US6541061031"/>
    <s v="U$"/>
    <n v="-203000"/>
    <n v="-654000"/>
    <n v="-182000"/>
    <n v="-845000"/>
    <n v="-644000"/>
    <x v="275"/>
  </r>
  <r>
    <x v="537"/>
    <x v="9"/>
    <s v="DECREASE/INCREASE INVENTORIES"/>
    <s v="U:NKE(WC04826)~U$"/>
    <s v="US6541061031"/>
    <s v="U$"/>
    <n v="-490000"/>
    <n v="-1854000"/>
    <n v="507000"/>
    <n v="-1676000"/>
    <n v="-133000"/>
    <x v="276"/>
  </r>
  <r>
    <x v="538"/>
    <x v="9"/>
    <s v="DECREASE IN INVESTMENTS"/>
    <s v="U:NKE(WC04440)~U$"/>
    <s v="US6541061031"/>
    <s v="U$"/>
    <n v="3787000"/>
    <n v="2453000"/>
    <n v="6685000"/>
    <n v="12166000"/>
    <n v="7540000"/>
    <x v="277"/>
  </r>
  <r>
    <x v="539"/>
    <x v="10"/>
    <s v="MARKET VALUE"/>
    <s v="D:ADS(MV)~U$"/>
    <s v="DE000A1EWWW0"/>
    <s v="U$"/>
    <n v="60630.34"/>
    <n v="66598.92"/>
    <n v="66511.91"/>
    <n v="25953.94"/>
    <n v="32587.52"/>
    <x v="278"/>
  </r>
  <r>
    <x v="540"/>
    <x v="10"/>
    <s v="PER"/>
    <s v="D:ADS(PE)"/>
    <s v="DE000A1EWWW0"/>
    <s v="E"/>
    <n v="28.2"/>
    <n v="100.5"/>
    <n v="33.4"/>
    <n v="13.3"/>
    <s v="NA"/>
    <x v="279"/>
  </r>
  <r>
    <x v="541"/>
    <x v="10"/>
    <s v="12MTH FORWARD EPS"/>
    <s v="D:ADS(EPS1FD12)~U$"/>
    <s v="DE000A1EWWW0"/>
    <s v="U$"/>
    <n v="11.763"/>
    <n v="8.4169999999999998"/>
    <n v="11.326000000000001"/>
    <n v="8.27"/>
    <n v="2.9649999999999999"/>
    <x v="280"/>
  </r>
  <r>
    <x v="542"/>
    <x v="5"/>
    <e v="#VALUE!"/>
    <s v="529E(D:ADS)"/>
    <s v="DE000A1EWWW0"/>
    <s v="E"/>
    <n v="4.0640000000000001"/>
    <n v="2.544"/>
    <n v="3.2869999999999999"/>
    <n v="5.77"/>
    <n v="1.5920000000000001"/>
    <x v="281"/>
  </r>
  <r>
    <x v="542"/>
    <x v="5"/>
    <e v="#VALUE!"/>
    <s v="384E(D:ADS)"/>
    <s v="DE000A1EWWW0"/>
    <s v="NA"/>
    <n v="19.489000000000001"/>
    <n v="29.035"/>
    <n v="22.065000000000001"/>
    <n v="14.901999999999999"/>
    <n v="37.57"/>
    <x v="282"/>
  </r>
  <r>
    <x v="542"/>
    <x v="5"/>
    <e v="#VALUE!"/>
    <s v="380E(D:ADS)"/>
    <s v="DE000A1EWWW0"/>
    <s v="NA"/>
    <n v="15.532999999999999"/>
    <n v="19.38"/>
    <n v="15.222"/>
    <n v="9.641"/>
    <n v="16.62"/>
    <x v="283"/>
  </r>
  <r>
    <x v="542"/>
    <x v="5"/>
    <e v="#VALUE!"/>
    <s v="157E(D:ADS)"/>
    <s v="DE000A1EWWW0"/>
    <s v="E"/>
    <n v="3.1890000000000001"/>
    <n v="2.5270000000000001"/>
    <n v="3.6669999999999998"/>
    <n v="6.1230000000000002"/>
    <n v="3.5150000000000001"/>
    <x v="284"/>
  </r>
  <r>
    <x v="542"/>
    <x v="5"/>
    <e v="#VALUE!"/>
    <s v="388E(D:ADS)"/>
    <s v="DE000A1EWWW0"/>
    <s v="NA"/>
    <n v="2.3109999999999999"/>
    <n v="2.5609999999999999"/>
    <n v="2.4750000000000001"/>
    <n v="1.242"/>
    <n v="1.5069999999999999"/>
    <x v="285"/>
  </r>
  <r>
    <x v="542"/>
    <x v="5"/>
    <e v="#VALUE!"/>
    <s v="334E(D:ADS)"/>
    <s v="DE000A1EWWW0"/>
    <s v="E"/>
    <n v="-0.377"/>
    <n v="0.41299999999999998"/>
    <n v="-0.28299999999999997"/>
    <n v="0.33100000000000002"/>
    <n v="1.1759999999999999"/>
    <x v="286"/>
  </r>
  <r>
    <x v="542"/>
    <x v="5"/>
    <e v="#VALUE!"/>
    <s v="338E(D:ADS)"/>
    <s v="DE000A1EWWW0"/>
    <s v="E"/>
    <n v="-2.7E-2"/>
    <n v="2.5999999999999999E-2"/>
    <n v="-1.7999999999999999E-2"/>
    <n v="3.7999999999999999E-2"/>
    <n v="7.0000000000000007E-2"/>
    <x v="287"/>
  </r>
  <r>
    <x v="542"/>
    <x v="5"/>
    <e v="#VALUE!"/>
    <s v="251E(D:ADS)"/>
    <s v="DE000A1EWWW0"/>
    <s v="E"/>
    <n v="1.94"/>
    <n v="2.31"/>
    <n v="2.0499999999999998"/>
    <n v="1.74"/>
    <n v="5.68"/>
    <x v="288"/>
  </r>
  <r>
    <x v="542"/>
    <x v="5"/>
    <e v="#VALUE!"/>
    <s v="250E(D:ADS)"/>
    <s v="DE000A1EWWW0"/>
    <s v="E"/>
    <n v="1.01"/>
    <n v="0.98"/>
    <n v="0.96"/>
    <n v="0.97"/>
    <n v="1.77"/>
    <x v="237"/>
  </r>
  <r>
    <x v="542"/>
    <x v="5"/>
    <e v="#VALUE!"/>
    <s v="553E(D:ADS)"/>
    <s v="DE000A1EWWW0"/>
    <s v="E"/>
    <n v="6.875"/>
    <n v="7.0259999999999998"/>
    <n v="6.9340000000000002"/>
    <n v="3.7210000000000001"/>
    <n v="6.133"/>
    <x v="289"/>
  </r>
  <r>
    <x v="543"/>
    <x v="10"/>
    <s v="12MTH TRAILING EPS"/>
    <s v="D:ADS(EPS1TR12)~U$"/>
    <s v="DE000A1EWWW0"/>
    <s v="U$"/>
    <n v="10.321999999999999"/>
    <n v="5.2149999999999999"/>
    <n v="7.5060000000000002"/>
    <n v="7.0490000000000004"/>
    <n v="-0.90700000000000003"/>
    <x v="290"/>
  </r>
  <r>
    <x v="544"/>
    <x v="10"/>
    <s v="DIV.PER SHR."/>
    <s v="D:ADS(DPS)~U$"/>
    <s v="DE000A1EWWW0"/>
    <s v="U$"/>
    <n v="3.7"/>
    <n v="0"/>
    <n v="3.52"/>
    <n v="3.31"/>
    <n v="0.75"/>
    <x v="291"/>
  </r>
  <r>
    <x v="542"/>
    <x v="5"/>
    <e v="#VALUE!"/>
    <s v="354E(D:ADS)"/>
    <s v="DE000A1EWWW0"/>
    <s v="E"/>
    <n v="1.6080000000000001"/>
    <n v="1.181"/>
    <n v="1.341"/>
    <n v="2.4279999999999999"/>
    <n v="0.83599999999999997"/>
    <x v="292"/>
  </r>
  <r>
    <x v="541"/>
    <x v="10"/>
    <s v="12MTH FORWARD EPS"/>
    <s v="D:ADS(EPS1FD12)~U$"/>
    <s v="DE000A1EWWW0"/>
    <s v="U$"/>
    <n v="11.763"/>
    <n v="8.4169999999999998"/>
    <n v="11.326000000000001"/>
    <n v="8.27"/>
    <n v="2.9649999999999999"/>
    <x v="280"/>
  </r>
  <r>
    <x v="540"/>
    <x v="10"/>
    <s v="PER"/>
    <s v="D:ADS(PE)"/>
    <s v="DE000A1EWWW0"/>
    <s v="E"/>
    <n v="28.2"/>
    <n v="100.5"/>
    <n v="33.4"/>
    <n v="13.3"/>
    <s v="NA"/>
    <x v="279"/>
  </r>
  <r>
    <x v="539"/>
    <x v="10"/>
    <s v="MARKET VALUE"/>
    <s v="D:ADS(MV)~U$"/>
    <s v="DE000A1EWWW0"/>
    <s v="U$"/>
    <n v="60630.34"/>
    <n v="66598.92"/>
    <n v="66511.91"/>
    <n v="25953.94"/>
    <n v="32587.52"/>
    <x v="278"/>
  </r>
  <r>
    <x v="545"/>
    <x v="10"/>
    <s v="EARNINGS PER SHR"/>
    <s v="D:ADS(EPS)~U$"/>
    <s v="DE000A1EWWW0"/>
    <s v="U$"/>
    <n v="10.72"/>
    <n v="3.31"/>
    <n v="9.93"/>
    <n v="10.19"/>
    <n v="0"/>
    <x v="293"/>
  </r>
  <r>
    <x v="542"/>
    <x v="5"/>
    <e v="#VALUE!"/>
    <s v="897E(D:ADS)"/>
    <s v="DE000A1EWWW0"/>
    <s v="NA"/>
    <n v="0.67500000000000004"/>
    <n v="1.0009999999999999"/>
    <n v="0.997"/>
    <n v="1.054"/>
    <n v="1.1279999999999999"/>
    <x v="294"/>
  </r>
  <r>
    <x v="542"/>
    <x v="5"/>
    <e v="#VALUE!"/>
    <s v="400E(D:ADS)"/>
    <s v="DE000A1EWWW0"/>
    <s v="NA"/>
    <n v="0.2467"/>
    <n v="0.35699999999999998"/>
    <n v="0.34420000000000001"/>
    <n v="0.3553"/>
    <n v="0.37309999999999999"/>
    <x v="295"/>
  </r>
  <r>
    <x v="546"/>
    <x v="10"/>
    <s v="ACCOUNTS PAYABLE"/>
    <s v="D:ADS(WC03040)~U$"/>
    <s v="DE000A1EWWW0"/>
    <s v="U$"/>
    <n v="2989281"/>
    <n v="2834422"/>
    <n v="2692511"/>
    <n v="2916774"/>
    <n v="2429833"/>
    <x v="18"/>
  </r>
  <r>
    <x v="547"/>
    <x v="10"/>
    <s v="AMORTIZATION OF DEFERRED CHARG"/>
    <s v="D:ADS(WC01150)~U$"/>
    <s v="DE000A1EWWW0"/>
    <s v="U$"/>
    <n v="0"/>
    <n v="0"/>
    <n v="0"/>
    <n v="0"/>
    <n v="0"/>
    <x v="18"/>
  </r>
  <r>
    <x v="548"/>
    <x v="10"/>
    <s v="AMORTIZATION OF INTANGIBLES"/>
    <s v="D:ADS(WC01149)~U$"/>
    <s v="DE000A1EWWW0"/>
    <s v="U$"/>
    <n v="86261"/>
    <n v="123339"/>
    <n v="112677"/>
    <n v="102308"/>
    <n v="119570"/>
    <x v="18"/>
  </r>
  <r>
    <x v="549"/>
    <x v="10"/>
    <s v="BOOK VALUE-OUT SHARES-FISCAL"/>
    <s v="D:ADS(WC05491)~U$"/>
    <s v="DE000A1EWWW0"/>
    <s v="U$"/>
    <n v="38.356999999999999"/>
    <n v="39.238999999999997"/>
    <n v="46.061999999999998"/>
    <n v="28.039000000000001"/>
    <n v="27.385000000000002"/>
    <x v="18"/>
  </r>
  <r>
    <x v="550"/>
    <x v="10"/>
    <s v="BOOK VALUE PER SHARE"/>
    <s v="D:ADS(WC05476)~U$"/>
    <s v="DE000A1EWWW0"/>
    <s v="U$"/>
    <n v="38.356999999999999"/>
    <n v="39.238999999999997"/>
    <n v="46.061999999999998"/>
    <n v="28.039000000000001"/>
    <n v="27.385000000000002"/>
    <x v="18"/>
  </r>
  <r>
    <x v="551"/>
    <x v="10"/>
    <s v="CAPITAL EXPENDITURES"/>
    <s v="D:ADS(WC04601)~U$"/>
    <s v="DE000A1EWWW0"/>
    <s v="U$"/>
    <n v="661336"/>
    <n v="449475"/>
    <n v="579817"/>
    <n v="505521"/>
    <n v="387535"/>
    <x v="18"/>
  </r>
  <r>
    <x v="552"/>
    <x v="10"/>
    <s v="CASH"/>
    <s v="D:ADS(WC02003)~U$"/>
    <s v="DE000A1EWWW0"/>
    <s v="U$"/>
    <n v="2455126"/>
    <n v="4736687"/>
    <n v="4492996"/>
    <n v="800408"/>
    <n v="1527720"/>
    <x v="18"/>
  </r>
  <r>
    <x v="553"/>
    <x v="10"/>
    <s v="CASH - GENERIC"/>
    <s v="D:ADS(WC02005)~U$"/>
    <s v="DE000A1EWWW0"/>
    <s v="U$"/>
    <n v="3159592"/>
    <n v="5290526"/>
    <n v="5044644"/>
    <n v="1536622"/>
    <n v="2007068"/>
    <x v="18"/>
  </r>
  <r>
    <x v="554"/>
    <x v="10"/>
    <s v="CASH &amp; SHORT TERM INVESTMENTS"/>
    <s v="D:ADS(WC02001)~U$"/>
    <s v="DE000A1EWWW0"/>
    <s v="U$"/>
    <n v="3159592"/>
    <n v="5290526"/>
    <n v="5044644"/>
    <n v="1536622"/>
    <n v="2007068"/>
    <x v="18"/>
  </r>
  <r>
    <x v="555"/>
    <x v="10"/>
    <s v="CASH DIVIDENDS PAID - TOTAL"/>
    <s v="D:ADS(WC04551)~U$"/>
    <s v="DE000A1EWWW0"/>
    <s v="U$"/>
    <n v="734326"/>
    <n v="0"/>
    <n v="686626"/>
    <n v="611840"/>
    <n v="133449"/>
    <x v="18"/>
  </r>
  <r>
    <x v="556"/>
    <x v="10"/>
    <s v="CASH FLOW PER SHARE"/>
    <s v="D:ADS(WC05501)~U$"/>
    <s v="DE000A1EWWW0"/>
    <s v="U$"/>
    <n v="16.565999999999999"/>
    <n v="9.7409999999999997"/>
    <n v="17.614000000000001"/>
    <n v="7.3280000000000003"/>
    <n v="5.9790000000000001"/>
    <x v="18"/>
  </r>
  <r>
    <x v="557"/>
    <x v="10"/>
    <s v="CASH FLOW PER SHARE - FIS YR"/>
    <s v="D:ADS(WC05502)~U$"/>
    <s v="DE000A1EWWW0"/>
    <s v="U$"/>
    <n v="16.565999999999999"/>
    <n v="9.7409999999999997"/>
    <n v="17.614000000000001"/>
    <n v="7.3280000000000003"/>
    <n v="5.9790000000000001"/>
    <x v="18"/>
  </r>
  <r>
    <x v="558"/>
    <x v="10"/>
    <s v="COMMON DIVIDENDS (CASH)"/>
    <s v="D:ADS(WC05376)~U$"/>
    <s v="DE000A1EWWW0"/>
    <s v="U$"/>
    <n v="734326"/>
    <n v="0"/>
    <n v="686626"/>
    <n v="611840"/>
    <n v="133449"/>
    <x v="18"/>
  </r>
  <r>
    <x v="559"/>
    <x v="10"/>
    <s v="COMMON SHAREHOLDERS' EQUITY"/>
    <s v="D:ADS(WC03501)~U$"/>
    <s v="DE000A1EWWW0"/>
    <s v="U$"/>
    <n v="7516887"/>
    <n v="7654126"/>
    <n v="8825192"/>
    <n v="5006058"/>
    <n v="4889559"/>
    <x v="18"/>
  </r>
  <r>
    <x v="560"/>
    <x v="10"/>
    <s v="COMMON STOCK"/>
    <s v="D:ADS(WC03480)~U$"/>
    <s v="DE000A1EWWW0"/>
    <s v="U$"/>
    <n v="216759"/>
    <n v="231260"/>
    <n v="225354"/>
    <n v="179540"/>
    <n v="191098"/>
    <x v="18"/>
  </r>
  <r>
    <x v="561"/>
    <x v="10"/>
    <s v="COST OF GOODS SOLD (EXCL DEP)"/>
    <s v="D:ADS(WC01051)~U$"/>
    <s v="DE000A1EWWW0"/>
    <s v="U$"/>
    <n v="11247130"/>
    <n v="10231196"/>
    <n v="10978966"/>
    <n v="10527668"/>
    <n v="10752759"/>
    <x v="18"/>
  </r>
  <r>
    <x v="562"/>
    <x v="10"/>
    <s v="CURRENT ASSETS - TOTAL"/>
    <s v="D:ADS(WC02201)~U$"/>
    <s v="DE000A1EWWW0"/>
    <s v="U$"/>
    <n v="12092047"/>
    <n v="14414044"/>
    <n v="16366336"/>
    <n v="11767397"/>
    <n v="10471983"/>
    <x v="18"/>
  </r>
  <r>
    <x v="563"/>
    <x v="10"/>
    <s v="CURRENT LIABILITIES-TOTAL"/>
    <s v="D:ADS(WC03101)~U$"/>
    <s v="DE000A1EWWW0"/>
    <s v="U$"/>
    <n v="9681158"/>
    <n v="10468386"/>
    <n v="10522390"/>
    <n v="9284929"/>
    <n v="8586621"/>
    <x v="18"/>
  </r>
  <r>
    <x v="564"/>
    <x v="10"/>
    <s v="DEFERRED TAXES"/>
    <s v="D:ADS(WC03263)~U$"/>
    <s v="DE000A1EWWW0"/>
    <s v="U$"/>
    <n v="-899107"/>
    <n v="-1176463"/>
    <n v="-1339213"/>
    <n v="-1084262"/>
    <n v="-1292851"/>
    <x v="18"/>
  </r>
  <r>
    <x v="565"/>
    <x v="10"/>
    <s v="DEPRECIATION AND DEPLETION"/>
    <s v="D:ADS(WC04049)~U$"/>
    <s v="DE000A1EWWW0"/>
    <s v="U$"/>
    <n v="1342578"/>
    <n v="1624752"/>
    <n v="1348603"/>
    <n v="1379149"/>
    <n v="1293918"/>
    <x v="18"/>
  </r>
  <r>
    <x v="566"/>
    <x v="10"/>
    <s v="DEPRECIATION/DEPLETION/AMORT"/>
    <s v="D:ADS(WC01151)~U$"/>
    <s v="DE000A1EWWW0"/>
    <s v="U$"/>
    <n v="1283964"/>
    <n v="1475323"/>
    <n v="1340387"/>
    <n v="1224684"/>
    <n v="1170078"/>
    <x v="18"/>
  </r>
  <r>
    <x v="567"/>
    <x v="10"/>
    <s v="DIVIDENDS PER SHARE"/>
    <s v="D:ADS(WC05101)~U$"/>
    <s v="DE000A1EWWW0"/>
    <s v="U$"/>
    <n v="0"/>
    <n v="3.5579999999999998"/>
    <n v="3.8730000000000002"/>
    <n v="0.70199999999999996"/>
    <n v="0.747"/>
    <x v="18"/>
  </r>
  <r>
    <x v="568"/>
    <x v="10"/>
    <s v="DIVIDENDS PER SHARE - FISCAL"/>
    <s v="D:ADS(WC05110)~U$"/>
    <s v="DE000A1EWWW0"/>
    <s v="U$"/>
    <n v="0"/>
    <n v="3.5579999999999998"/>
    <n v="3.8730000000000002"/>
    <n v="0.70199999999999996"/>
    <n v="0.747"/>
    <x v="18"/>
  </r>
  <r>
    <x v="569"/>
    <x v="10"/>
    <s v="EARNINGS BEF INTEREST &amp; TAXES"/>
    <s v="D:ADS(WC18191)~U$"/>
    <s v="DE000A1EWWW0"/>
    <s v="U$"/>
    <n v="3005870"/>
    <n v="876418"/>
    <n v="2301663"/>
    <n v="514548"/>
    <n v="237005"/>
    <x v="18"/>
  </r>
  <r>
    <x v="570"/>
    <x v="10"/>
    <s v="EBIT &amp; DEPRECIATION"/>
    <s v="D:ADS(WC18198)~U$"/>
    <s v="DE000A1EWWW0"/>
    <s v="U$"/>
    <n v="4289835"/>
    <n v="2351740"/>
    <n v="3642050"/>
    <n v="1739232"/>
    <n v="1407083"/>
    <x v="18"/>
  </r>
  <r>
    <x v="571"/>
    <x v="10"/>
    <s v="EARNINGS PER SHARE"/>
    <s v="D:ADS(WC05201)~U$"/>
    <s v="DE000A1EWWW0"/>
    <s v="U$"/>
    <n v="11.058999999999999"/>
    <n v="2.625"/>
    <n v="12.791"/>
    <n v="3.35"/>
    <n v="-0.44800000000000001"/>
    <x v="18"/>
  </r>
  <r>
    <x v="572"/>
    <x v="10"/>
    <s v="FISCAL EPS-FULLY DILUTED-YR"/>
    <s v="D:ADS(WC10030)~U$"/>
    <s v="DE000A1EWWW0"/>
    <s v="U$"/>
    <n v="11.058"/>
    <n v="2.625"/>
    <n v="12.79"/>
    <n v="3.3490000000000002"/>
    <n v="-0.44800000000000001"/>
    <x v="18"/>
  </r>
  <r>
    <x v="573"/>
    <x v="10"/>
    <s v="ENTERPRISE VALUE"/>
    <s v="D:ADS(WC18100)~U$"/>
    <s v="DE000A1EWWW0"/>
    <s v="U$"/>
    <n v="65209809"/>
    <n v="70891599"/>
    <n v="58524929"/>
    <n v="28127961"/>
    <n v="39404293"/>
    <x v="18"/>
  </r>
  <r>
    <x v="574"/>
    <x v="10"/>
    <s v="GROSS INCOME"/>
    <s v="D:ADS(WC01100)~U$"/>
    <s v="DE000A1EWWW0"/>
    <s v="U$"/>
    <n v="13612677"/>
    <n v="11827486"/>
    <n v="12603393"/>
    <n v="10826567"/>
    <n v="10952398"/>
    <x v="18"/>
  </r>
  <r>
    <x v="575"/>
    <x v="10"/>
    <s v="IMPAIRMENT- OTHER INTANGIBLES"/>
    <s v="D:ADS(WC18226)~U$"/>
    <s v="DE000A1EWWW0"/>
    <s v="U$"/>
    <n v="6635"/>
    <n v="48624"/>
    <s v="NA"/>
    <n v="28084"/>
    <n v="10676"/>
    <x v="18"/>
  </r>
  <r>
    <x v="576"/>
    <x v="10"/>
    <s v="INCOME TAXES"/>
    <s v="D:ADS(WC01451)~U$"/>
    <s v="DE000A1EWWW0"/>
    <s v="U$"/>
    <n v="707784"/>
    <n v="173149"/>
    <n v="422539"/>
    <n v="134404"/>
    <n v="132381"/>
    <x v="18"/>
  </r>
  <r>
    <x v="577"/>
    <x v="10"/>
    <s v="INCREASE/DECREASE IN CASH/SHOR"/>
    <s v="D:ADS(WC04851)~U$"/>
    <s v="DE000A1EWWW0"/>
    <s v="U$"/>
    <n v="-453424"/>
    <n v="2103876"/>
    <n v="-193664"/>
    <n v="-3040145"/>
    <n v="675784"/>
    <x v="18"/>
  </r>
  <r>
    <x v="578"/>
    <x v="10"/>
    <s v="INTEREST EXPENSE ON DEBT"/>
    <s v="D:ADS(WC01251)~U$"/>
    <s v="DE000A1EWWW0"/>
    <s v="U$"/>
    <n v="176946"/>
    <n v="194496"/>
    <n v="127935"/>
    <n v="125377"/>
    <n v="167612"/>
    <x v="18"/>
  </r>
  <r>
    <x v="579"/>
    <x v="10"/>
    <s v="TOTAL INVENTORIES"/>
    <s v="D:ADS(WC02101)~U$"/>
    <s v="DE000A1EWWW0"/>
    <s v="U$"/>
    <n v="4517653"/>
    <n v="5214625"/>
    <n v="4705439"/>
    <n v="5991021"/>
    <n v="4830842"/>
    <x v="18"/>
  </r>
  <r>
    <x v="580"/>
    <x v="10"/>
    <s v="LONG TERM DEBT"/>
    <s v="D:ADS(WC03251)~U$"/>
    <s v="DE000A1EWWW0"/>
    <s v="U$"/>
    <n v="4417015"/>
    <n v="5503997"/>
    <n v="5550516"/>
    <n v="5304958"/>
    <n v="4771057"/>
    <x v="18"/>
  </r>
  <r>
    <x v="581"/>
    <x v="10"/>
    <s v="MARKET CAPITALIZATION"/>
    <s v="D:ADS(WC08001)~U$"/>
    <s v="DE000A1EWWW0"/>
    <s v="U$"/>
    <n v="62806903"/>
    <n v="68915805"/>
    <n v="56939235"/>
    <n v="22825010"/>
    <n v="35104043"/>
    <x v="18"/>
  </r>
  <r>
    <x v="582"/>
    <x v="10"/>
    <s v="NET CASH FLOW - FINANCING"/>
    <s v="D:ADS(WC04890)~U$"/>
    <s v="DE000A1EWWW0"/>
    <s v="U$"/>
    <n v="-2341217"/>
    <n v="754265"/>
    <n v="-3380310"/>
    <n v="-2831517"/>
    <n v="-1347298"/>
    <x v="18"/>
  </r>
  <r>
    <x v="583"/>
    <x v="10"/>
    <s v="NET CASH FLOW - INVESTING"/>
    <s v="D:ADS(WC04870)~U$"/>
    <s v="DE000A1EWWW0"/>
    <s v="U$"/>
    <n v="1078265"/>
    <n v="166033"/>
    <n v="512915"/>
    <n v="-473424"/>
    <n v="522051"/>
    <x v="18"/>
  </r>
  <r>
    <x v="584"/>
    <x v="10"/>
    <s v="NET CASH FLOW-OPERATING ACTIVS"/>
    <s v="D:ADS(WC04860)~U$"/>
    <s v="DE000A1EWWW0"/>
    <s v="U$"/>
    <n v="2999235"/>
    <n v="1604591"/>
    <n v="3632660"/>
    <n v="-662994"/>
    <n v="2587836"/>
    <x v="18"/>
  </r>
  <r>
    <x v="585"/>
    <x v="10"/>
    <s v="NET DEBT"/>
    <s v="D:ADS(WC18199)~U$"/>
    <s v="DE000A1EWWW0"/>
    <s v="U$"/>
    <n v="2115611"/>
    <n v="1694723"/>
    <n v="1212452"/>
    <n v="4941865"/>
    <n v="3931931"/>
    <x v="18"/>
  </r>
  <r>
    <x v="586"/>
    <x v="10"/>
    <s v="NET INCOME - DILUTED"/>
    <s v="D:ADS(WC01705)~U$"/>
    <s v="DE000A1EWWW0"/>
    <s v="U$"/>
    <n v="2185283"/>
    <n v="512331"/>
    <n v="2483589"/>
    <n v="613846"/>
    <n v="-80069"/>
    <x v="18"/>
  </r>
  <r>
    <x v="587"/>
    <x v="10"/>
    <s v="NET SALES OR REVENUES"/>
    <s v="D:ADS(WC01001)~U$"/>
    <s v="DE000A1EWWW0"/>
    <s v="U$"/>
    <n v="26143771"/>
    <n v="23534005"/>
    <n v="24922746"/>
    <n v="22578918"/>
    <n v="22875236"/>
    <x v="18"/>
  </r>
  <r>
    <x v="588"/>
    <x v="10"/>
    <s v="NON-OPERATING INTEREST INCOME"/>
    <s v="D:ADS(WC01266)~U$"/>
    <s v="DE000A1EWWW0"/>
    <s v="U$"/>
    <n v="55296"/>
    <n v="29649"/>
    <n v="14085"/>
    <n v="23069"/>
    <n v="41636"/>
    <x v="18"/>
  </r>
  <r>
    <x v="589"/>
    <x v="10"/>
    <s v="OPERATING EXPENSES - TOTAL"/>
    <s v="D:ADS(WC01249)~U$"/>
    <s v="DE000A1EWWW0"/>
    <s v="U$"/>
    <n v="23406638"/>
    <n v="22629124"/>
    <n v="22740803"/>
    <n v="22036286"/>
    <n v="22664920"/>
    <x v="18"/>
  </r>
  <r>
    <x v="590"/>
    <x v="10"/>
    <s v="OPERATING INCOME"/>
    <s v="D:ADS(WC01250)~U$"/>
    <s v="DE000A1EWWW0"/>
    <s v="U$"/>
    <n v="2737133"/>
    <n v="904880"/>
    <n v="2181943"/>
    <n v="542632"/>
    <n v="210315"/>
    <x v="18"/>
  </r>
  <r>
    <x v="591"/>
    <x v="10"/>
    <s v="PRETAX INCOME"/>
    <s v="D:ADS(WC01401)~U$"/>
    <s v="DE000A1EWWW0"/>
    <s v="U$"/>
    <n v="2828924"/>
    <n v="681922"/>
    <n v="2173727"/>
    <n v="389171"/>
    <n v="69393"/>
    <x v="18"/>
  </r>
  <r>
    <x v="592"/>
    <x v="10"/>
    <s v="PROPERTY, PLANT &amp; EQUIP - NET"/>
    <s v="D:ADS(WC02501)~U$"/>
    <s v="DE000A1EWWW0"/>
    <s v="U$"/>
    <n v="5873501"/>
    <n v="5439956"/>
    <n v="5663193"/>
    <n v="4958917"/>
    <n v="4701663"/>
    <x v="18"/>
  </r>
  <r>
    <x v="593"/>
    <x v="10"/>
    <s v="RECEIVABLES(NET)"/>
    <s v="D:ADS(WC02051)~U$"/>
    <s v="DE000A1EWWW0"/>
    <s v="U$"/>
    <n v="3625181"/>
    <n v="3217484"/>
    <n v="3504725"/>
    <n v="3568735"/>
    <n v="2973236"/>
    <x v="18"/>
  </r>
  <r>
    <x v="594"/>
    <x v="10"/>
    <s v="RESEARCH &amp; DEVELOPMENT"/>
    <s v="D:ADS(WC01201)~U$"/>
    <s v="DE000A1EWWW0"/>
    <s v="U$"/>
    <n v="168099"/>
    <n v="154174"/>
    <n v="152583"/>
    <n v="153462"/>
    <n v="161206"/>
    <x v="18"/>
  </r>
  <r>
    <x v="595"/>
    <x v="10"/>
    <s v="SELLING, GENERAL &amp; ADMINISTRAT"/>
    <s v="D:ADS(WC01101)~U$"/>
    <s v="DE000A1EWWW0"/>
    <s v="U$"/>
    <n v="10737304"/>
    <n v="10804010"/>
    <n v="10347505"/>
    <n v="10108407"/>
    <n v="10604364"/>
    <x v="18"/>
  </r>
  <r>
    <x v="596"/>
    <x v="10"/>
    <s v="SHORT TERM DEBT &amp; CURRENT PORT"/>
    <s v="D:ADS(WC03051)~U$"/>
    <s v="DE000A1EWWW0"/>
    <s v="U$"/>
    <n v="858188"/>
    <n v="1481252"/>
    <n v="706579"/>
    <n v="1173530"/>
    <n v="1167943"/>
    <x v="18"/>
  </r>
  <r>
    <x v="597"/>
    <x v="10"/>
    <s v="TOTAL ASSETS"/>
    <s v="D:ADS(WC02999)~U$"/>
    <s v="DE000A1EWWW0"/>
    <s v="U$"/>
    <n v="21661508"/>
    <n v="23505542"/>
    <n v="24500207"/>
    <n v="19137567"/>
    <n v="17788173"/>
    <x v="18"/>
  </r>
  <r>
    <x v="598"/>
    <x v="10"/>
    <s v="TOTAL CAPITAL"/>
    <s v="D:ADS(WC03998)~U$"/>
    <s v="DE000A1EWWW0"/>
    <s v="U$"/>
    <n v="12222545"/>
    <n v="13439193"/>
    <n v="14748951"/>
    <n v="10672102"/>
    <n v="10028934"/>
    <x v="18"/>
  </r>
  <r>
    <x v="599"/>
    <x v="10"/>
    <s v="TOTAL DEBT"/>
    <s v="D:ADS(WC03255)~U$"/>
    <s v="DE000A1EWWW0"/>
    <s v="U$"/>
    <n v="5275203"/>
    <n v="6985249"/>
    <n v="6257095"/>
    <n v="6478488"/>
    <n v="5938999"/>
    <x v="18"/>
  </r>
  <r>
    <x v="600"/>
    <x v="10"/>
    <s v="TOTAL INTANGIBLE OT ASSETS-NET"/>
    <s v="D:ADS(WC02649)~U$"/>
    <s v="DE000A1EWWW0"/>
    <s v="U$"/>
    <n v="2677414"/>
    <n v="2620951"/>
    <n v="1854476"/>
    <n v="1694096"/>
    <n v="1793550"/>
    <x v="18"/>
  </r>
  <r>
    <x v="601"/>
    <x v="10"/>
    <s v="TOTAL LIABILITIES"/>
    <s v="D:ADS(WC03351)~U$"/>
    <s v="DE000A1EWWW0"/>
    <s v="U$"/>
    <n v="13855978"/>
    <n v="15570346"/>
    <n v="15301773"/>
    <n v="13770422"/>
    <n v="12530295"/>
    <x v="18"/>
  </r>
  <r>
    <x v="602"/>
    <x v="10"/>
    <s v="TOTAL LIABILITIES &amp; SHAREHOLDE"/>
    <s v="D:ADS(WC03999)~U$"/>
    <s v="DE000A1EWWW0"/>
    <s v="U$"/>
    <n v="21661508"/>
    <n v="23505542"/>
    <n v="24500207"/>
    <n v="19137567"/>
    <n v="17788173"/>
    <x v="18"/>
  </r>
  <r>
    <x v="603"/>
    <x v="10"/>
    <s v="TOTAL SHAREHOLDERS EQUITY"/>
    <s v="D:ADS(WC03995)~U$"/>
    <s v="DE000A1EWWW0"/>
    <s v="U$"/>
    <n v="7516887"/>
    <n v="7654126"/>
    <n v="8825192"/>
    <n v="5006058"/>
    <n v="4889559"/>
    <x v="18"/>
  </r>
  <r>
    <x v="604"/>
    <x v="10"/>
    <s v="WORKING CAPITAL"/>
    <s v="D:ADS(WC03151)~U$"/>
    <s v="DE000A1EWWW0"/>
    <s v="U$"/>
    <n v="2410889"/>
    <n v="3945658"/>
    <n v="5843946"/>
    <n v="2482467"/>
    <n v="1885363"/>
    <x v="18"/>
  </r>
  <r>
    <x v="605"/>
    <x v="10"/>
    <s v="BK VAL PS 12M FWD"/>
    <s v="D:ADS(DIBV)~U$"/>
    <s v="DE000A1EWWW0"/>
    <s v="U$"/>
    <n v="44"/>
    <n v="47.3"/>
    <n v="47.86"/>
    <n v="36.31"/>
    <n v="29.52"/>
    <x v="296"/>
  </r>
  <r>
    <x v="606"/>
    <x v="10"/>
    <s v="EV 12M FWD"/>
    <s v="D:ADS(DIEV)~U$"/>
    <s v="DE000A1EWWW0"/>
    <s v="U$"/>
    <n v="57134306.200000003"/>
    <n v="57069824.149999999"/>
    <n v="68403921.909999996"/>
    <n v="28159681.5"/>
    <n v="37086582.719999999"/>
    <x v="297"/>
  </r>
  <r>
    <x v="607"/>
    <x v="10"/>
    <s v="NET INCOME 12M FWD"/>
    <s v="D:ADS(DINI)~U$"/>
    <s v="DE000A1EWWW0"/>
    <s v="U$"/>
    <n v="2310110.7599999998"/>
    <n v="1633513.02"/>
    <n v="2194527.9700000002"/>
    <n v="1525712.41"/>
    <n v="546231.92000000004"/>
    <x v="298"/>
  </r>
  <r>
    <x v="608"/>
    <x v="10"/>
    <s v="PRETAX PRF 12M FWD"/>
    <s v="D:ADS(DINP)~U$"/>
    <s v="DE000A1EWWW0"/>
    <s v="U$"/>
    <n v="3175594.56"/>
    <n v="2229652.46"/>
    <n v="2909179.56"/>
    <n v="1931192.11"/>
    <n v="748486.98"/>
    <x v="299"/>
  </r>
  <r>
    <x v="609"/>
    <x v="10"/>
    <s v="ROE 12M FWD"/>
    <s v="D:ADS(DIRE)~U$"/>
    <s v="DE000A1EWWW0"/>
    <s v="U$"/>
    <n v="31.35"/>
    <n v="21.86"/>
    <n v="28.95"/>
    <n v="22.71"/>
    <n v="11.65"/>
    <x v="300"/>
  </r>
  <r>
    <x v="610"/>
    <x v="10"/>
    <s v="SALES 12M FWD"/>
    <s v="D:ADS(DISL)~U$"/>
    <s v="DE000A1EWWW0"/>
    <s v="U$"/>
    <n v="27274155.600000001"/>
    <n v="26778025.789999999"/>
    <n v="27514486.489999998"/>
    <n v="25163532.960000001"/>
    <n v="24474902.829999998"/>
    <x v="301"/>
  </r>
  <r>
    <x v="611"/>
    <x v="10"/>
    <s v="DECREASE/INCREASE RECEIVABLES"/>
    <s v="D:ADS(WC04825)~U$"/>
    <s v="DE000A1EWWW0"/>
    <s v="U$"/>
    <n v="-767503"/>
    <n v="467265"/>
    <n v="-199532"/>
    <n v="-822474"/>
    <n v="1062251"/>
    <x v="18"/>
  </r>
  <r>
    <x v="612"/>
    <x v="10"/>
    <s v="DECREASE/INCREASE INVENTORIES"/>
    <s v="D:ADS(WC04826)~U$"/>
    <s v="DE000A1EWWW0"/>
    <s v="U$"/>
    <n v="-558486"/>
    <n v="-596533"/>
    <n v="146715"/>
    <n v="-1906736"/>
    <n v="1384663"/>
    <x v="18"/>
  </r>
  <r>
    <x v="613"/>
    <x v="10"/>
    <s v="DECREASE IN INVESTMENTS"/>
    <s v="D:ADS(WC04440)~U$"/>
    <s v="DE000A1EWWW0"/>
    <s v="U$"/>
    <n v="0"/>
    <n v="342740"/>
    <n v="57512"/>
    <n v="0"/>
    <n v="60853"/>
    <x v="18"/>
  </r>
  <r>
    <x v="614"/>
    <x v="11"/>
    <s v="MARKET VALUE"/>
    <s v="@LULU(MV)~U$"/>
    <s v="US5500211090"/>
    <s v="U$"/>
    <n v="24056.79"/>
    <n v="36821.660000000003"/>
    <n v="53152.6"/>
    <n v="40756.39"/>
    <n v="46482.8"/>
    <x v="302"/>
  </r>
  <r>
    <x v="615"/>
    <x v="11"/>
    <s v="PER"/>
    <s v="@LULU(PE)"/>
    <s v="US5500211090"/>
    <s v="U$"/>
    <n v="51.6"/>
    <n v="72.3"/>
    <n v="50.9"/>
    <n v="31.3"/>
    <n v="35.799999999999997"/>
    <x v="303"/>
  </r>
  <r>
    <x v="616"/>
    <x v="11"/>
    <s v="12MTH FORWARD EPS"/>
    <s v="@LULU(EPS1FD12)~U$"/>
    <s v="US5500211090"/>
    <s v="U$"/>
    <n v="5.1429999999999998"/>
    <n v="5.6669999999999998"/>
    <n v="8.4469999999999992"/>
    <n v="10.903"/>
    <n v="13.3"/>
    <x v="304"/>
  </r>
  <r>
    <x v="617"/>
    <x v="11"/>
    <e v="#VALUE!"/>
    <s v="529E(@LULU)"/>
    <s v="US5500211090"/>
    <s v="U$"/>
    <n v="2.944"/>
    <n v="1.8280000000000001"/>
    <n v="2.016"/>
    <n v="3.18"/>
    <n v="3.419"/>
    <x v="305"/>
  </r>
  <r>
    <x v="617"/>
    <x v="11"/>
    <e v="#VALUE!"/>
    <s v="384E(@LULU)"/>
    <s v="US5500211090"/>
    <s v="U$"/>
    <n v="26.54"/>
    <n v="36.072000000000003"/>
    <n v="36.192999999999998"/>
    <n v="21.355"/>
    <n v="19.411000000000001"/>
    <x v="306"/>
  </r>
  <r>
    <x v="617"/>
    <x v="11"/>
    <e v="#VALUE!"/>
    <s v="380E(@LULU)"/>
    <s v="US5500211090"/>
    <s v="U$"/>
    <n v="22.981000000000002"/>
    <n v="30.838999999999999"/>
    <n v="31.353000000000002"/>
    <n v="18.574000000000002"/>
    <n v="16.827999999999999"/>
    <x v="307"/>
  </r>
  <r>
    <x v="617"/>
    <x v="11"/>
    <e v="#VALUE!"/>
    <s v="157E(@LULU)"/>
    <s v="US5500211090"/>
    <s v="U$"/>
    <n v="1.9997"/>
    <n v="1.5425"/>
    <n v="1.6583000000000001"/>
    <n v="2.4897"/>
    <n v="2.5339"/>
    <x v="308"/>
  </r>
  <r>
    <x v="617"/>
    <x v="11"/>
    <e v="#VALUE!"/>
    <s v="388E(@LULU)"/>
    <s v="US5500211090"/>
    <s v="U$"/>
    <n v="5.9169999999999998"/>
    <n v="7.65"/>
    <n v="7.8579999999999997"/>
    <n v="4.7539999999999996"/>
    <n v="4.43"/>
    <x v="309"/>
  </r>
  <r>
    <x v="617"/>
    <x v="11"/>
    <e v="#VALUE!"/>
    <s v="334E(@LULU)"/>
    <s v="US5500211090"/>
    <s v="U$"/>
    <n v="-1.0489999999999999"/>
    <n v="-0.86799999999999999"/>
    <n v="-0.91800000000000004"/>
    <n v="-0.68799999999999994"/>
    <n v="-0.72"/>
    <x v="310"/>
  </r>
  <r>
    <x v="617"/>
    <x v="11"/>
    <e v="#VALUE!"/>
    <s v="338E(@LULU)"/>
    <s v="US5500211090"/>
    <s v="U$"/>
    <n v="-0.05"/>
    <n v="-2.4E-2"/>
    <n v="-3.1E-2"/>
    <n v="-3.5999999999999997E-2"/>
    <n v="-4.1000000000000002E-2"/>
    <x v="311"/>
  </r>
  <r>
    <x v="617"/>
    <x v="11"/>
    <e v="#VALUE!"/>
    <s v="251E(@LULU)"/>
    <s v="US5500211090"/>
    <s v="U$"/>
    <n v="2.02"/>
    <n v="2.4500000000000002"/>
    <n v="2.2799999999999998"/>
    <n v="1.86"/>
    <n v="1.56"/>
    <x v="312"/>
  </r>
  <r>
    <x v="617"/>
    <x v="11"/>
    <e v="#VALUE!"/>
    <s v="250E(@LULU)"/>
    <s v="US5500211090"/>
    <s v="U$"/>
    <n v="1.5"/>
    <n v="1.4"/>
    <n v="1.57"/>
    <n v="1.35"/>
    <n v="1.34"/>
    <x v="104"/>
  </r>
  <r>
    <x v="617"/>
    <x v="11"/>
    <e v="#VALUE!"/>
    <s v="553E(@LULU)"/>
    <s v="US5500211090"/>
    <s v="U$"/>
    <n v="13.931100000000001"/>
    <n v="14.601699999999999"/>
    <n v="15.4491"/>
    <n v="10.4366"/>
    <n v="9.9977"/>
    <x v="313"/>
  </r>
  <r>
    <x v="618"/>
    <x v="11"/>
    <s v="12MTH TRAILING EPS"/>
    <s v="@LULU(EPS1TR12)~U$"/>
    <s v="US5500211090"/>
    <s v="U$"/>
    <n v="4.3010000000000002"/>
    <n v="4.43"/>
    <n v="6.5670000000000002"/>
    <n v="9.19"/>
    <n v="11.462999999999999"/>
    <x v="314"/>
  </r>
  <r>
    <x v="619"/>
    <x v="11"/>
    <s v="DIV.PER SHR."/>
    <s v="@LULU(DPS)~U$"/>
    <s v="US5500211090"/>
    <s v="U$"/>
    <n v="0"/>
    <n v="0"/>
    <n v="0"/>
    <n v="0"/>
    <n v="0"/>
    <x v="14"/>
  </r>
  <r>
    <x v="617"/>
    <x v="11"/>
    <e v="#VALUE!"/>
    <s v="354E(@LULU)"/>
    <s v="US5500211090"/>
    <s v="U$"/>
    <n v="0"/>
    <n v="0"/>
    <n v="0"/>
    <n v="0"/>
    <n v="0"/>
    <x v="14"/>
  </r>
  <r>
    <x v="616"/>
    <x v="11"/>
    <s v="12MTH FORWARD EPS"/>
    <s v="@LULU(EPS1FD12)~U$"/>
    <s v="US5500211090"/>
    <s v="U$"/>
    <n v="5.1429999999999998"/>
    <n v="5.6669999999999998"/>
    <n v="8.4469999999999992"/>
    <n v="10.903"/>
    <n v="13.3"/>
    <x v="304"/>
  </r>
  <r>
    <x v="615"/>
    <x v="11"/>
    <s v="PER"/>
    <s v="@LULU(PE)"/>
    <s v="US5500211090"/>
    <s v="U$"/>
    <n v="51.6"/>
    <n v="72.3"/>
    <n v="50.9"/>
    <n v="31.3"/>
    <n v="35.799999999999997"/>
    <x v="303"/>
  </r>
  <r>
    <x v="614"/>
    <x v="11"/>
    <s v="MARKET VALUE"/>
    <s v="@LULU(MV)~U$"/>
    <s v="US5500211090"/>
    <s v="U$"/>
    <n v="24056.79"/>
    <n v="36821.660000000003"/>
    <n v="53152.6"/>
    <n v="40756.39"/>
    <n v="46482.8"/>
    <x v="302"/>
  </r>
  <r>
    <x v="620"/>
    <x v="11"/>
    <s v="EARNINGS PER SHR"/>
    <s v="@LULU(EPS)~U$"/>
    <s v="US5500211090"/>
    <s v="U$"/>
    <n v="3.78"/>
    <n v="4.08"/>
    <n v="8.3800000000000008"/>
    <n v="10.66"/>
    <n v="10.68"/>
    <x v="315"/>
  </r>
  <r>
    <x v="617"/>
    <x v="11"/>
    <e v="#VALUE!"/>
    <s v="897E(@LULU)"/>
    <s v="US5500211090"/>
    <s v="NA"/>
    <n v="1.4774"/>
    <n v="1.8762000000000001"/>
    <n v="1.9937"/>
    <n v="1.875"/>
    <n v="1.8920999999999999"/>
    <x v="316"/>
  </r>
  <r>
    <x v="617"/>
    <x v="11"/>
    <e v="#VALUE!"/>
    <s v="400E(@LULU)"/>
    <s v="US5500211090"/>
    <s v="NA"/>
    <n v="0.37540000000000001"/>
    <n v="0.49990000000000001"/>
    <n v="0.4884"/>
    <n v="0.51859999999999995"/>
    <n v="0.51519999999999999"/>
    <x v="317"/>
  </r>
  <r>
    <x v="621"/>
    <x v="11"/>
    <s v="ACCOUNTS PAYABLE"/>
    <s v="@LULU(WC03040)~U$"/>
    <s v="US5500211090"/>
    <s v="U$"/>
    <n v="80810"/>
    <n v="166993"/>
    <n v="288719"/>
    <n v="173129"/>
    <n v="346842"/>
    <x v="18"/>
  </r>
  <r>
    <x v="622"/>
    <x v="11"/>
    <s v="AMORTIZATION OF DEFERRED CHARG"/>
    <s v="@LULU(WC01150)~U$"/>
    <s v="US5500211090"/>
    <s v="U$"/>
    <s v="NA"/>
    <s v="NA"/>
    <s v="NA"/>
    <s v="NA"/>
    <n v="374"/>
    <x v="18"/>
  </r>
  <r>
    <x v="623"/>
    <x v="11"/>
    <s v="AMORTIZATION-INTANGIBLE ASSETS"/>
    <s v="@LULU(WC04050)~U$"/>
    <s v="US5500211090"/>
    <s v="U$"/>
    <n v="133"/>
    <n v="5226"/>
    <n v="8624"/>
    <n v="8625"/>
    <n v="5384"/>
    <x v="18"/>
  </r>
  <r>
    <x v="624"/>
    <x v="11"/>
    <s v="AMORTIZATION OF INTANGIBLES"/>
    <s v="@LULU(WC01149)~U$"/>
    <s v="US5500211090"/>
    <s v="U$"/>
    <n v="133"/>
    <n v="5226"/>
    <n v="8624"/>
    <n v="8625"/>
    <n v="5010"/>
    <x v="18"/>
  </r>
  <r>
    <x v="625"/>
    <x v="11"/>
    <s v="BOOK VALUE-OUT SHARES-FISCAL"/>
    <s v="@LULU(WC05491)~U$"/>
    <s v="US5500211090"/>
    <s v="U$"/>
    <n v="15.129"/>
    <n v="19.029"/>
    <n v="21.248999999999999"/>
    <n v="24.788"/>
    <n v="33.375"/>
    <x v="18"/>
  </r>
  <r>
    <x v="626"/>
    <x v="11"/>
    <s v="BOOK VALUE PER SHARE"/>
    <s v="@LULU(WC05476)~U$"/>
    <s v="US5500211090"/>
    <s v="U$"/>
    <n v="15.129"/>
    <n v="19.029"/>
    <n v="21.248999999999999"/>
    <n v="24.788"/>
    <n v="33.375"/>
    <x v="18"/>
  </r>
  <r>
    <x v="627"/>
    <x v="11"/>
    <s v="CAPITAL EXPENDITURES"/>
    <s v="@LULU(WC04601)~U$"/>
    <s v="US5500211090"/>
    <s v="U$"/>
    <n v="282960"/>
    <n v="232177"/>
    <n v="387403"/>
    <n v="629387"/>
    <n v="651806"/>
    <x v="18"/>
  </r>
  <r>
    <x v="628"/>
    <x v="11"/>
    <s v="CASH"/>
    <s v="@LULU(WC02003)~U$"/>
    <s v="US5500211090"/>
    <s v="U$"/>
    <n v="1104624"/>
    <n v="1115433"/>
    <n v="1255483"/>
    <n v="1157525"/>
    <n v="2233672"/>
    <x v="18"/>
  </r>
  <r>
    <x v="629"/>
    <x v="11"/>
    <s v="CASH - GENERIC"/>
    <s v="@LULU(WC02005)~U$"/>
    <s v="US5500211090"/>
    <s v="U$"/>
    <n v="1106377"/>
    <n v="1132267"/>
    <n v="1274494"/>
    <n v="1174270"/>
    <n v="2234316"/>
    <x v="18"/>
  </r>
  <r>
    <x v="630"/>
    <x v="11"/>
    <s v="CASH &amp; SHORT TERM INVESTMENTS"/>
    <s v="@LULU(WC02001)~U$"/>
    <s v="US5500211090"/>
    <s v="U$"/>
    <n v="1106377"/>
    <n v="1132267"/>
    <n v="1274494"/>
    <n v="1174270"/>
    <n v="2234316"/>
    <x v="18"/>
  </r>
  <r>
    <x v="631"/>
    <x v="11"/>
    <s v="CASH DIVIDENDS PAID - TOTAL"/>
    <s v="@LULU(WC04551)~U$"/>
    <s v="US5500211090"/>
    <s v="U$"/>
    <n v="0"/>
    <n v="0"/>
    <n v="0"/>
    <s v="NA"/>
    <n v="0"/>
    <x v="18"/>
  </r>
  <r>
    <x v="632"/>
    <x v="11"/>
    <s v="CASH FLOW PER SHARE"/>
    <s v="@LULU(WC05501)~U$"/>
    <s v="US5500211090"/>
    <s v="U$"/>
    <n v="6.6189999999999998"/>
    <n v="6.6150000000000002"/>
    <n v="9.5350000000000001"/>
    <n v="12.069000000000001"/>
    <n v="16.545999999999999"/>
    <x v="18"/>
  </r>
  <r>
    <x v="633"/>
    <x v="11"/>
    <s v="CASH FLOW PER SHARE - FIS YR"/>
    <s v="@LULU(WC05502)~U$"/>
    <s v="US5500211090"/>
    <s v="U$"/>
    <n v="6.6189999999999998"/>
    <n v="6.6150000000000002"/>
    <n v="9.5350000000000001"/>
    <n v="12.069000000000001"/>
    <n v="16.545999999999999"/>
    <x v="18"/>
  </r>
  <r>
    <x v="634"/>
    <x v="11"/>
    <s v="COMMON DIVIDENDS (CASH)"/>
    <s v="@LULU(WC05376)~U$"/>
    <s v="US5500211090"/>
    <s v="U$"/>
    <n v="0"/>
    <n v="0"/>
    <n v="0"/>
    <s v="NA"/>
    <n v="0"/>
    <x v="18"/>
  </r>
  <r>
    <x v="635"/>
    <x v="11"/>
    <s v="COMMON SHAREHOLDERS' EQUITY"/>
    <s v="@LULU(WC03501)~U$"/>
    <s v="US5500211090"/>
    <s v="U$"/>
    <n v="1972069"/>
    <n v="2480544"/>
    <n v="2730503"/>
    <n v="3156045"/>
    <n v="4212657"/>
    <x v="18"/>
  </r>
  <r>
    <x v="636"/>
    <x v="11"/>
    <s v="COMMON STOCK"/>
    <s v="@LULU(WC03480)~U$"/>
    <s v="US5500211090"/>
    <s v="U$"/>
    <n v="627"/>
    <n v="607"/>
    <n v="614"/>
    <n v="612"/>
    <n v="603"/>
    <x v="18"/>
  </r>
  <r>
    <x v="637"/>
    <x v="11"/>
    <s v="COST OF GOODS SOLD (EXCL DEP)"/>
    <s v="@LULU(WC01051)~U$"/>
    <s v="US5500211090"/>
    <s v="U$"/>
    <n v="1593482"/>
    <n v="1780199"/>
    <n v="2388842"/>
    <n v="3286732"/>
    <n v="3635170"/>
    <x v="18"/>
  </r>
  <r>
    <x v="638"/>
    <x v="11"/>
    <s v="CURRENT ASSETS - TOTAL"/>
    <s v="@LULU(WC02201)~U$"/>
    <s v="US5500211090"/>
    <s v="U$"/>
    <n v="1851220"/>
    <n v="2059597"/>
    <n v="2605746"/>
    <n v="3166723"/>
    <n v="4041941"/>
    <x v="18"/>
  </r>
  <r>
    <x v="639"/>
    <x v="11"/>
    <s v="CURRENT LIABILITIES-TOTAL"/>
    <s v="@LULU(WC03101)~U$"/>
    <s v="US5500211090"/>
    <s v="U$"/>
    <n v="613892"/>
    <n v="856246"/>
    <n v="1400440"/>
    <n v="1495632"/>
    <n v="1623774"/>
    <x v="18"/>
  </r>
  <r>
    <x v="640"/>
    <x v="11"/>
    <s v="DEFERRED TAXES"/>
    <s v="@LULU(WC03263)~U$"/>
    <s v="US5500211090"/>
    <s v="U$"/>
    <n v="12119"/>
    <n v="50438"/>
    <n v="47096"/>
    <n v="48794"/>
    <n v="20253"/>
    <x v="18"/>
  </r>
  <r>
    <x v="641"/>
    <x v="11"/>
    <s v="DEPRECIATION AND DEPLETION"/>
    <s v="@LULU(WC04049)~U$"/>
    <s v="US5500211090"/>
    <s v="U$"/>
    <n v="161750"/>
    <n v="182640"/>
    <n v="211547"/>
    <n v="278931"/>
    <n v="373966"/>
    <x v="18"/>
  </r>
  <r>
    <x v="642"/>
    <x v="11"/>
    <s v="DEPRECIATION/DEPLETION/AMORT"/>
    <s v="@LULU(WC01151)~U$"/>
    <s v="US5500211090"/>
    <s v="U$"/>
    <n v="161883"/>
    <n v="187866"/>
    <n v="220181"/>
    <n v="287556"/>
    <n v="379350"/>
    <x v="18"/>
  </r>
  <r>
    <x v="643"/>
    <x v="11"/>
    <s v="DIVIDENDS PER SHARE"/>
    <s v="@LULU(WC05101)~U$"/>
    <s v="US5500211090"/>
    <s v="U$"/>
    <n v="0"/>
    <n v="0"/>
    <n v="0"/>
    <n v="0"/>
    <n v="0"/>
    <x v="14"/>
  </r>
  <r>
    <x v="644"/>
    <x v="11"/>
    <s v="DIVIDENDS PER SHARE - FISCAL"/>
    <s v="@LULU(WC05110)~U$"/>
    <s v="US5500211090"/>
    <s v="U$"/>
    <n v="0"/>
    <n v="0"/>
    <n v="0"/>
    <n v="0"/>
    <n v="0"/>
    <x v="14"/>
  </r>
  <r>
    <x v="645"/>
    <x v="11"/>
    <s v="EARNINGS BEF INTEREST &amp; TAXES"/>
    <s v="@LULU(WC18191)~U$"/>
    <s v="US5500211090"/>
    <s v="U$"/>
    <n v="897115"/>
    <n v="829899"/>
    <n v="1309866"/>
    <n v="1313230"/>
    <s v="NA"/>
    <x v="18"/>
  </r>
  <r>
    <x v="646"/>
    <x v="11"/>
    <s v="EBIT &amp; DEPRECIATION"/>
    <s v="@LULU(WC18198)~U$"/>
    <s v="US5500211090"/>
    <s v="U$"/>
    <n v="1058997"/>
    <n v="1017765"/>
    <n v="1530047"/>
    <n v="1600786"/>
    <s v="NA"/>
    <x v="18"/>
  </r>
  <r>
    <x v="647"/>
    <x v="11"/>
    <s v="EARNINGS PER SHARE"/>
    <s v="@LULU(WC05201)~U$"/>
    <s v="US5500211090"/>
    <s v="U$"/>
    <n v="4.9480000000000004"/>
    <n v="4.5780000000000003"/>
    <n v="7.3849999999999998"/>
    <n v="6.6029999999999998"/>
    <n v="12.231999999999999"/>
    <x v="18"/>
  </r>
  <r>
    <x v="648"/>
    <x v="11"/>
    <s v="FISCAL EPS-FULLY DILUTED-YR"/>
    <s v="@LULU(WC10030)~U$"/>
    <s v="US5500211090"/>
    <s v="U$"/>
    <n v="4.9279999999999999"/>
    <n v="4.5579999999999998"/>
    <n v="7.3550000000000004"/>
    <n v="6.5830000000000002"/>
    <n v="12.199"/>
    <x v="18"/>
  </r>
  <r>
    <x v="649"/>
    <x v="11"/>
    <s v="ENTERPRISE VALUE"/>
    <s v="@LULU(WC18100)~U$"/>
    <s v="US5500211090"/>
    <s v="U$"/>
    <n v="30042096"/>
    <n v="40405638"/>
    <n v="39337704"/>
    <n v="38494239"/>
    <n v="57926853"/>
    <x v="18"/>
  </r>
  <r>
    <x v="650"/>
    <x v="11"/>
    <s v="GROSS INCOME"/>
    <s v="@LULU(WC01100)~U$"/>
    <s v="US5500211090"/>
    <s v="U$"/>
    <n v="2222696"/>
    <n v="2490489"/>
    <n v="3535004"/>
    <n v="4418512"/>
    <n v="5603887"/>
    <x v="18"/>
  </r>
  <r>
    <x v="651"/>
    <x v="11"/>
    <s v="INCOME TAXES"/>
    <s v="@LULU(WC01451)~U$"/>
    <s v="US5500211090"/>
    <s v="U$"/>
    <n v="251719"/>
    <n v="233404"/>
    <n v="352095"/>
    <n v="470837"/>
    <n v="625488"/>
    <x v="18"/>
  </r>
  <r>
    <x v="652"/>
    <x v="11"/>
    <s v="INCREASE/DECREASE IN CASH/SHOR"/>
    <s v="@LULU(WC04851)~U$"/>
    <s v="US5500211090"/>
    <s v="U$"/>
    <n v="212119"/>
    <n v="57746"/>
    <n v="107386"/>
    <n v="-103480"/>
    <n v="1089005"/>
    <x v="18"/>
  </r>
  <r>
    <x v="653"/>
    <x v="11"/>
    <s v="INTEREST EXPENSE ON DEBT"/>
    <s v="@LULU(WC01251)~U$"/>
    <s v="US5500211090"/>
    <s v="U$"/>
    <n v="0"/>
    <n v="0"/>
    <n v="0"/>
    <n v="0"/>
    <s v="NA"/>
    <x v="18"/>
  </r>
  <r>
    <x v="654"/>
    <x v="11"/>
    <s v="TOTAL INVENTORIES"/>
    <s v="@LULU(WC02101)~U$"/>
    <s v="US5500211090"/>
    <s v="U$"/>
    <n v="523785"/>
    <n v="627493"/>
    <n v="963115"/>
    <n v="1450698"/>
    <n v="1317527"/>
    <x v="18"/>
  </r>
  <r>
    <x v="655"/>
    <x v="11"/>
    <s v="LONG TERM DEBT"/>
    <s v="@LULU(WC03251)~U$"/>
    <s v="US5500211090"/>
    <s v="U$"/>
    <n v="0"/>
    <n v="0"/>
    <n v="0"/>
    <n v="0"/>
    <n v="0"/>
    <x v="18"/>
  </r>
  <r>
    <x v="656"/>
    <x v="11"/>
    <s v="MARKET CAPITALIZATION"/>
    <s v="@LULU(WC08001)~U$"/>
    <s v="US5500211090"/>
    <s v="U$"/>
    <n v="31145167"/>
    <n v="41537905"/>
    <n v="40612198"/>
    <n v="39668509"/>
    <n v="60150419"/>
    <x v="18"/>
  </r>
  <r>
    <x v="657"/>
    <x v="11"/>
    <s v="NET CASH FLOW - FINANCING"/>
    <s v="@LULU(WC04890)~U$"/>
    <s v="US5500211090"/>
    <s v="U$"/>
    <n v="-177118"/>
    <n v="-81828"/>
    <n v="-829781"/>
    <n v="-460702"/>
    <n v="-548778"/>
    <x v="18"/>
  </r>
  <r>
    <x v="658"/>
    <x v="11"/>
    <s v="NET CASH FLOW - INVESTING"/>
    <s v="@LULU(WC04870)~U$"/>
    <s v="US5500211090"/>
    <s v="U$"/>
    <n v="278322"/>
    <n v="704487"/>
    <n v="420191"/>
    <n v="561665"/>
    <n v="654073"/>
    <x v="18"/>
  </r>
  <r>
    <x v="659"/>
    <x v="11"/>
    <s v="NET CASH FLOW-OPERATING ACTIVS"/>
    <s v="@LULU(WC04860)~U$"/>
    <s v="US5500211090"/>
    <s v="U$"/>
    <n v="669108"/>
    <n v="813679"/>
    <n v="1364111"/>
    <n v="952436"/>
    <n v="2295956"/>
    <x v="18"/>
  </r>
  <r>
    <x v="660"/>
    <x v="11"/>
    <s v="NET DEBT"/>
    <s v="@LULU(WC18199)~U$"/>
    <s v="US5500211090"/>
    <s v="U$"/>
    <n v="-1104559"/>
    <n v="-1132267"/>
    <n v="-1274494"/>
    <n v="-1174270"/>
    <n v="-2223566"/>
    <x v="18"/>
  </r>
  <r>
    <x v="661"/>
    <x v="11"/>
    <s v="NET INCOME - DILUTED"/>
    <s v="@LULU(WC01705)~U$"/>
    <s v="US5500211090"/>
    <s v="U$"/>
    <n v="645396"/>
    <n v="596495"/>
    <n v="957771"/>
    <n v="842393"/>
    <n v="1550050"/>
    <x v="18"/>
  </r>
  <r>
    <x v="662"/>
    <x v="11"/>
    <s v="NET SALES OR REVENUES"/>
    <s v="@LULU(WC01001)~U$"/>
    <s v="US5500211090"/>
    <s v="U$"/>
    <n v="3978061"/>
    <n v="4458555"/>
    <n v="6144028"/>
    <n v="7992800"/>
    <n v="9618406"/>
    <x v="18"/>
  </r>
  <r>
    <x v="663"/>
    <x v="11"/>
    <s v="NON-OPERATING INTEREST INCOME"/>
    <s v="@LULU(WC01266)~U$"/>
    <s v="US5500211090"/>
    <s v="U$"/>
    <n v="0"/>
    <n v="0"/>
    <n v="0"/>
    <n v="0"/>
    <s v="NA"/>
    <x v="18"/>
  </r>
  <r>
    <x v="664"/>
    <x v="11"/>
    <s v="OPERATING EXPENSES - TOTAL"/>
    <s v="@LULU(WC01249)~U$"/>
    <s v="US5500211090"/>
    <s v="U$"/>
    <n v="3087720"/>
    <n v="3597785"/>
    <n v="4794017"/>
    <n v="6291713"/>
    <n v="7411429"/>
    <x v="18"/>
  </r>
  <r>
    <x v="665"/>
    <x v="11"/>
    <s v="OPERATING INCOME"/>
    <s v="@LULU(WC01250)~U$"/>
    <s v="US5500211090"/>
    <s v="U$"/>
    <n v="890342"/>
    <n v="860770"/>
    <n v="1350010"/>
    <n v="1701087"/>
    <n v="2206977"/>
    <x v="18"/>
  </r>
  <r>
    <x v="666"/>
    <x v="11"/>
    <s v="PRETAX INCOME"/>
    <s v="@LULU(WC01401)~U$"/>
    <s v="US5500211090"/>
    <s v="U$"/>
    <n v="897115"/>
    <n v="829899"/>
    <n v="1309866"/>
    <n v="1313230"/>
    <n v="2175538"/>
    <x v="18"/>
  </r>
  <r>
    <x v="667"/>
    <x v="11"/>
    <s v="PROPERTY, PLANT &amp; EQUIP - NET"/>
    <s v="@LULU(WC02501)~U$"/>
    <s v="US5500211090"/>
    <s v="U$"/>
    <n v="678523"/>
    <n v="1435374"/>
    <n v="1725224"/>
    <n v="2244185"/>
    <n v="2798518"/>
    <x v="18"/>
  </r>
  <r>
    <x v="668"/>
    <x v="11"/>
    <s v="RECEIVABLES(NET)"/>
    <s v="@LULU(WC02051)~U$"/>
    <s v="US5500211090"/>
    <s v="U$"/>
    <n v="40628"/>
    <n v="73399"/>
    <n v="76733"/>
    <n v="133212"/>
    <n v="124196"/>
    <x v="18"/>
  </r>
  <r>
    <x v="669"/>
    <x v="11"/>
    <s v="RESEARCH &amp; DEVELOPMENT"/>
    <s v="@LULU(WC01201)~U$"/>
    <s v="US5500211090"/>
    <s v="U$"/>
    <n v="0"/>
    <n v="0"/>
    <s v="NA"/>
    <s v="NA"/>
    <s v="NA"/>
    <x v="18"/>
  </r>
  <r>
    <x v="670"/>
    <x v="11"/>
    <s v="SELLING, GENERAL &amp; ADMINISTRAT"/>
    <s v="@LULU(WC01101)~U$"/>
    <s v="US5500211090"/>
    <s v="U$"/>
    <n v="1332355"/>
    <n v="1629719"/>
    <n v="2184994"/>
    <n v="2717425"/>
    <n v="3396910"/>
    <x v="18"/>
  </r>
  <r>
    <x v="671"/>
    <x v="11"/>
    <s v="SHORT TERM DEBT &amp; CURRENT PORT"/>
    <s v="@LULU(WC03051)~U$"/>
    <s v="US5500211090"/>
    <s v="U$"/>
    <n v="1818"/>
    <n v="0"/>
    <n v="0"/>
    <n v="0"/>
    <n v="10750"/>
    <x v="18"/>
  </r>
  <r>
    <x v="672"/>
    <x v="11"/>
    <s v="TOTAL ASSETS"/>
    <s v="@LULU(WC02999)~U$"/>
    <s v="US5500211090"/>
    <s v="U$"/>
    <n v="3282965"/>
    <n v="4051063"/>
    <n v="4919195"/>
    <n v="5613524"/>
    <n v="7050258"/>
    <x v="18"/>
  </r>
  <r>
    <x v="673"/>
    <x v="11"/>
    <s v="TOTAL CAPITAL"/>
    <s v="@LULU(WC03998)~U$"/>
    <s v="US5500211090"/>
    <s v="U$"/>
    <n v="1972069"/>
    <n v="2480544"/>
    <n v="2730503"/>
    <n v="3156045"/>
    <n v="4212657"/>
    <x v="18"/>
  </r>
  <r>
    <x v="674"/>
    <x v="11"/>
    <s v="TOTAL DEBT"/>
    <s v="@LULU(WC03255)~U$"/>
    <s v="US5500211090"/>
    <s v="U$"/>
    <n v="1818"/>
    <n v="0"/>
    <n v="0"/>
    <n v="0"/>
    <n v="10750"/>
    <x v="18"/>
  </r>
  <r>
    <x v="675"/>
    <x v="11"/>
    <s v="TOTAL INTANGIBLE OT ASSETS-NET"/>
    <s v="@LULU(WC02649)~U$"/>
    <s v="US5500211090"/>
    <s v="U$"/>
    <n v="721348"/>
    <n v="452717"/>
    <n v="456583"/>
    <n v="46211"/>
    <n v="23972"/>
    <x v="18"/>
  </r>
  <r>
    <x v="676"/>
    <x v="11"/>
    <s v="TOTAL LIABILITIES"/>
    <s v="@LULU(WC03351)~U$"/>
    <s v="US5500211090"/>
    <s v="U$"/>
    <n v="1310897"/>
    <n v="1570519"/>
    <n v="2188692"/>
    <n v="2457479"/>
    <n v="2837601"/>
    <x v="18"/>
  </r>
  <r>
    <x v="677"/>
    <x v="11"/>
    <s v="TOTAL LIABILITIES &amp; SHAREHOLDE"/>
    <s v="@LULU(WC03999)~U$"/>
    <s v="US5500211090"/>
    <s v="U$"/>
    <n v="3282965"/>
    <n v="4051063"/>
    <n v="4919195"/>
    <n v="5613524"/>
    <n v="7050258"/>
    <x v="18"/>
  </r>
  <r>
    <x v="678"/>
    <x v="11"/>
    <s v="TOTAL SHAREHOLDERS EQUITY"/>
    <s v="@LULU(WC03995)~U$"/>
    <s v="US5500211090"/>
    <s v="U$"/>
    <n v="1972069"/>
    <n v="2480544"/>
    <n v="2730503"/>
    <n v="3156045"/>
    <n v="4212657"/>
    <x v="18"/>
  </r>
  <r>
    <x v="679"/>
    <x v="11"/>
    <s v="WORKING CAPITAL"/>
    <s v="@LULU(WC03151)~U$"/>
    <s v="US5500211090"/>
    <s v="U$"/>
    <n v="1237328"/>
    <n v="1203351"/>
    <n v="1205307"/>
    <n v="1671092"/>
    <n v="2418166"/>
    <x v="18"/>
  </r>
  <r>
    <x v="680"/>
    <x v="11"/>
    <s v="BK VAL PS 12M FWD"/>
    <s v="@LULU(DIBV)~U$"/>
    <s v="US5500211090"/>
    <s v="U$"/>
    <n v="14.02"/>
    <n v="20.190000000000001"/>
    <n v="27.61"/>
    <n v="31.93"/>
    <n v="38.29"/>
    <x v="318"/>
  </r>
  <r>
    <x v="681"/>
    <x v="11"/>
    <s v="EV 12M FWD"/>
    <s v="@LULU(DIEV)~U$"/>
    <s v="US5500211090"/>
    <s v="U$"/>
    <n v="22352110"/>
    <n v="43118340"/>
    <n v="51611490"/>
    <n v="41929200"/>
    <n v="47935790"/>
    <x v="319"/>
  </r>
  <r>
    <x v="682"/>
    <x v="11"/>
    <s v="NET INCOME 12M FWD"/>
    <s v="@LULU(DINI)~U$"/>
    <s v="US5500211090"/>
    <s v="U$"/>
    <n v="668216.80000000005"/>
    <n v="741946.8"/>
    <n v="1085833"/>
    <n v="1385223"/>
    <n v="1685737"/>
    <x v="320"/>
  </r>
  <r>
    <x v="683"/>
    <x v="11"/>
    <s v="PRETAX PRF 12M FWD"/>
    <s v="@LULU(DINP)~U$"/>
    <s v="US5500211090"/>
    <s v="U$"/>
    <n v="926954.4"/>
    <n v="1029297"/>
    <n v="1496410"/>
    <n v="1938943"/>
    <n v="2400663"/>
    <x v="321"/>
  </r>
  <r>
    <x v="684"/>
    <x v="11"/>
    <s v="ROE 12M FWD"/>
    <s v="@LULU(DIRE)~U$"/>
    <s v="US5500211090"/>
    <s v="U$"/>
    <n v="42.19"/>
    <n v="30.55"/>
    <n v="33.799999999999997"/>
    <n v="39.03"/>
    <n v="40.01"/>
    <x v="322"/>
  </r>
  <r>
    <x v="685"/>
    <x v="11"/>
    <s v="SALES 12M FWD"/>
    <s v="@LULU(DISL)~U$"/>
    <s v="US5500211090"/>
    <s v="U$"/>
    <n v="4122391"/>
    <n v="4873375"/>
    <n v="6884637"/>
    <n v="8691609"/>
    <n v="10431810"/>
    <x v="323"/>
  </r>
  <r>
    <x v="686"/>
    <x v="11"/>
    <s v="DECREASE/INCREASE RECEIVABLES"/>
    <s v="@LULU(WC04825)~U$"/>
    <s v="US5500211090"/>
    <s v="U$"/>
    <n v="0"/>
    <n v="0"/>
    <n v="0"/>
    <n v="0"/>
    <s v="NA"/>
    <x v="18"/>
  </r>
  <r>
    <x v="687"/>
    <x v="11"/>
    <s v="DECREASE/INCR OTH ASTS/LIABILT"/>
    <s v="@LULU(WC04830)~U$"/>
    <s v="US5500211090"/>
    <s v="U$"/>
    <n v="-54539"/>
    <n v="-103321"/>
    <n v="34523"/>
    <n v="-125951"/>
    <n v="129863"/>
    <x v="18"/>
  </r>
  <r>
    <x v="688"/>
    <x v="11"/>
    <s v="DECREASE/INCREASE INVENTORIES"/>
    <s v="@LULU(WC04826)~U$"/>
    <s v="US5500211090"/>
    <s v="U$"/>
    <n v="-117555"/>
    <n v="-97791"/>
    <n v="-317786"/>
    <n v="-503100"/>
    <n v="66578"/>
    <x v="18"/>
  </r>
  <r>
    <x v="689"/>
    <x v="11"/>
    <s v="DECREASE IN INVESTMENTS"/>
    <s v="@LULU(WC04440)~U$"/>
    <s v="US5500211090"/>
    <s v="U$"/>
    <n v="0"/>
    <n v="0"/>
    <n v="0"/>
    <n v="47110"/>
    <n v="0"/>
    <x v="18"/>
  </r>
  <r>
    <x v="690"/>
    <x v="12"/>
    <s v="MARKET VALUE"/>
    <s v="W:HMBF(MV)~U$"/>
    <s v="SE0000106270"/>
    <s v="U$"/>
    <n v="28184.66"/>
    <n v="26334.7"/>
    <n v="29209.63"/>
    <n v="14773.35"/>
    <n v="20350.400000000001"/>
    <x v="324"/>
  </r>
  <r>
    <x v="691"/>
    <x v="12"/>
    <s v="PER"/>
    <s v="W:HMBF(PE)"/>
    <s v="SE0000106270"/>
    <s v="SK"/>
    <n v="25.8"/>
    <n v="52.2"/>
    <n v="47.9"/>
    <n v="13.6"/>
    <n v="73.5"/>
    <x v="325"/>
  </r>
  <r>
    <x v="692"/>
    <x v="12"/>
    <s v="12MTH FORWARD EPS"/>
    <s v="W:HMBF(EPS1FD12)~U$"/>
    <s v="SE0000106270"/>
    <s v="U$"/>
    <n v="0.83499999999999996"/>
    <n v="0.624"/>
    <n v="0.97899999999999998"/>
    <n v="0.64400000000000002"/>
    <n v="0.77200000000000002"/>
    <x v="326"/>
  </r>
  <r>
    <x v="693"/>
    <x v="12"/>
    <e v="#VALUE!"/>
    <s v="529E(W:HMBF)"/>
    <s v="SE0000106270"/>
    <s v="SK"/>
    <n v="4.718"/>
    <n v="3.4529999999999998"/>
    <n v="4.8630000000000004"/>
    <n v="6.1310000000000002"/>
    <n v="5.0119999999999996"/>
    <x v="327"/>
  </r>
  <r>
    <x v="693"/>
    <x v="12"/>
    <e v="#VALUE!"/>
    <s v="384E(W:HMBF)"/>
    <s v="SE0000106270"/>
    <s v="NA"/>
    <n v="18.385999999999999"/>
    <n v="27.617999999999999"/>
    <n v="17.154"/>
    <n v="14.89"/>
    <n v="15.726000000000001"/>
    <x v="328"/>
  </r>
  <r>
    <x v="693"/>
    <x v="12"/>
    <e v="#VALUE!"/>
    <s v="380E(W:HMBF)"/>
    <s v="SE0000106270"/>
    <s v="NA"/>
    <n v="11.148"/>
    <n v="10.050000000000001"/>
    <n v="7.9459999999999997"/>
    <n v="6.5590000000000002"/>
    <n v="7.46"/>
    <x v="329"/>
  </r>
  <r>
    <x v="693"/>
    <x v="12"/>
    <e v="#VALUE!"/>
    <s v="157E(W:HMBF)"/>
    <s v="SE0000106270"/>
    <s v="SK"/>
    <n v="4.0209999999999999"/>
    <n v="5.5640000000000001"/>
    <n v="7.9649999999999999"/>
    <n v="6.8280000000000003"/>
    <n v="7.3540000000000001"/>
    <x v="330"/>
  </r>
  <r>
    <x v="693"/>
    <x v="12"/>
    <e v="#VALUE!"/>
    <s v="388E(W:HMBF)"/>
    <s v="SE0000106270"/>
    <s v="NA"/>
    <n v="1.333"/>
    <n v="1.5"/>
    <n v="1.478"/>
    <n v="1.018"/>
    <n v="1.234"/>
    <x v="331"/>
  </r>
  <r>
    <x v="693"/>
    <x v="12"/>
    <e v="#VALUE!"/>
    <s v="334E(W:HMBF)"/>
    <s v="SE0000106270"/>
    <s v="SK"/>
    <n v="0.42399999999999999"/>
    <n v="0.9"/>
    <n v="-0.69299999999999995"/>
    <n v="-0.67400000000000004"/>
    <n v="-0.29799999999999999"/>
    <x v="332"/>
  </r>
  <r>
    <x v="693"/>
    <x v="12"/>
    <e v="#VALUE!"/>
    <s v="338E(W:HMBF)"/>
    <s v="SE0000106270"/>
    <s v="SK"/>
    <n v="4.2999999999999997E-2"/>
    <n v="0.108"/>
    <n v="-9.2999999999999999E-2"/>
    <n v="-0.115"/>
    <n v="-4.2999999999999997E-2"/>
    <x v="333"/>
  </r>
  <r>
    <x v="693"/>
    <x v="12"/>
    <e v="#VALUE!"/>
    <s v="251E(W:HMBF)"/>
    <s v="SE0000106270"/>
    <s v="SK"/>
    <n v="1.4"/>
    <n v="1.41"/>
    <n v="0.94"/>
    <n v="1.07"/>
    <n v="1.41"/>
    <x v="334"/>
  </r>
  <r>
    <x v="693"/>
    <x v="12"/>
    <e v="#VALUE!"/>
    <s v="250E(W:HMBF)"/>
    <s v="SE0000106270"/>
    <s v="SK"/>
    <n v="1"/>
    <n v="1"/>
    <n v="1"/>
    <n v="1"/>
    <n v="1"/>
    <x v="36"/>
  </r>
  <r>
    <x v="693"/>
    <x v="12"/>
    <e v="#VALUE!"/>
    <s v="553E(W:HMBF)"/>
    <s v="SE0000106270"/>
    <s v="SK"/>
    <n v="5.6689999999999996"/>
    <n v="4.5679999999999996"/>
    <n v="4.3639999999999999"/>
    <n v="3.1030000000000002"/>
    <n v="4.9169999999999998"/>
    <x v="335"/>
  </r>
  <r>
    <x v="694"/>
    <x v="12"/>
    <s v="12MTH TRAILING EPS"/>
    <s v="W:HMBF(EPS1TR12)~U$"/>
    <s v="SE0000106270"/>
    <s v="U$"/>
    <n v="0.79"/>
    <n v="0.223"/>
    <n v="0.59899999999999998"/>
    <n v="0.60899999999999999"/>
    <n v="0.495"/>
    <x v="336"/>
  </r>
  <r>
    <x v="695"/>
    <x v="12"/>
    <s v="DIV.PER SHR."/>
    <s v="W:HMBF(DPS)~U$"/>
    <s v="SE0000106270"/>
    <s v="U$"/>
    <n v="1"/>
    <n v="0"/>
    <n v="0"/>
    <n v="0.61"/>
    <n v="0.57999999999999996"/>
    <x v="337"/>
  </r>
  <r>
    <x v="693"/>
    <x v="12"/>
    <e v="#VALUE!"/>
    <s v="354E(W:HMBF)"/>
    <s v="SE0000106270"/>
    <s v="SK"/>
    <n v="5.2670000000000003"/>
    <n v="3.5830000000000002"/>
    <n v="4.0880000000000001"/>
    <n v="6.1719999999999997"/>
    <n v="4.077"/>
    <x v="338"/>
  </r>
  <r>
    <x v="692"/>
    <x v="12"/>
    <s v="12MTH FORWARD EPS"/>
    <s v="W:HMBF(EPS1FD12)~U$"/>
    <s v="SE0000106270"/>
    <s v="U$"/>
    <n v="0.83499999999999996"/>
    <n v="0.624"/>
    <n v="0.97899999999999998"/>
    <n v="0.64400000000000002"/>
    <n v="0.77200000000000002"/>
    <x v="326"/>
  </r>
  <r>
    <x v="691"/>
    <x v="12"/>
    <s v="PER"/>
    <s v="W:HMBF(PE)"/>
    <s v="SE0000106270"/>
    <s v="SK"/>
    <n v="25.8"/>
    <n v="52.2"/>
    <n v="47.9"/>
    <n v="13.6"/>
    <n v="73.5"/>
    <x v="325"/>
  </r>
  <r>
    <x v="690"/>
    <x v="12"/>
    <s v="MARKET VALUE"/>
    <s v="W:HMBF(MV)~U$"/>
    <s v="SE0000106270"/>
    <s v="U$"/>
    <n v="28184.66"/>
    <n v="26334.7"/>
    <n v="29209.63"/>
    <n v="14773.35"/>
    <n v="20350.400000000001"/>
    <x v="324"/>
  </r>
  <r>
    <x v="696"/>
    <x v="12"/>
    <s v="EARNINGS PER SHR"/>
    <s v="W:HMBF(EPS)~U$"/>
    <s v="SE0000106270"/>
    <s v="U$"/>
    <n v="0.75"/>
    <n v="0.35"/>
    <n v="0.42"/>
    <n v="0.74"/>
    <n v="0.19"/>
    <x v="116"/>
  </r>
  <r>
    <x v="693"/>
    <x v="12"/>
    <e v="#VALUE!"/>
    <s v="897E(W:HMBF)"/>
    <s v="SE0000106270"/>
    <s v="NA"/>
    <n v="0.79"/>
    <n v="1.37"/>
    <n v="1.35"/>
    <n v="1.23"/>
    <n v="1.22"/>
    <x v="339"/>
  </r>
  <r>
    <x v="693"/>
    <x v="12"/>
    <e v="#VALUE!"/>
    <s v="400E(W:HMBF)"/>
    <s v="SE0000106270"/>
    <s v="NA"/>
    <n v="0.24879999999999999"/>
    <n v="0.4002"/>
    <n v="0.40229999999999999"/>
    <n v="0.4158"/>
    <n v="0.4304"/>
    <x v="340"/>
  </r>
  <r>
    <x v="697"/>
    <x v="12"/>
    <s v="ACCOUNTS PAYABLE"/>
    <s v="W:HMBF(WC03040)~U$"/>
    <s v="SE0000106270"/>
    <s v="U$"/>
    <n v="807904"/>
    <n v="1086319"/>
    <n v="2346769"/>
    <n v="1963782"/>
    <n v="1877892"/>
    <x v="18"/>
  </r>
  <r>
    <x v="698"/>
    <x v="12"/>
    <s v="AMORTIZATION OF DEFERRED CHARG"/>
    <s v="W:HMBF(WC01150)~U$"/>
    <s v="SE0000106270"/>
    <s v="U$"/>
    <n v="49270"/>
    <n v="69558"/>
    <n v="0"/>
    <n v="0"/>
    <n v="0"/>
    <x v="18"/>
  </r>
  <r>
    <x v="699"/>
    <x v="12"/>
    <s v="AMORTIZATION-INTANGIBLE ASSETS"/>
    <s v="W:HMBF(WC04050)~U$"/>
    <s v="SE0000106270"/>
    <s v="U$"/>
    <n v="165848"/>
    <s v="NA"/>
    <s v="NA"/>
    <s v="NA"/>
    <s v="NA"/>
    <x v="18"/>
  </r>
  <r>
    <x v="700"/>
    <x v="12"/>
    <s v="AMORTIZATION OF INTANGIBLES"/>
    <s v="W:HMBF(WC01149)~U$"/>
    <s v="SE0000106270"/>
    <s v="U$"/>
    <n v="116578"/>
    <n v="152937"/>
    <n v="180308"/>
    <n v="165278"/>
    <n v="188173"/>
    <x v="18"/>
  </r>
  <r>
    <x v="701"/>
    <x v="12"/>
    <s v="BOOK VALUE-OUT SHARES-FISCAL"/>
    <s v="W:HMBF(WC05491)~U$"/>
    <s v="SE0000106270"/>
    <s v="U$"/>
    <n v="3.5539999999999998"/>
    <n v="3.77"/>
    <n v="4.1749999999999998"/>
    <n v="2.9"/>
    <n v="2.6160000000000001"/>
    <x v="18"/>
  </r>
  <r>
    <x v="702"/>
    <x v="12"/>
    <s v="BOOK VALUE PER SHARE"/>
    <s v="W:HMBF(WC05476)~U$"/>
    <s v="SE0000106270"/>
    <s v="U$"/>
    <n v="3.5539999999999998"/>
    <n v="3.77"/>
    <n v="4.1749999999999998"/>
    <n v="2.9"/>
    <n v="2.6160000000000001"/>
    <x v="18"/>
  </r>
  <r>
    <x v="703"/>
    <x v="12"/>
    <s v="CAPITAL EXPENDITURES"/>
    <s v="W:HMBF(WC04601)~U$"/>
    <s v="SE0000106270"/>
    <s v="U$"/>
    <n v="761107"/>
    <n v="411867"/>
    <n v="313985"/>
    <n v="421529"/>
    <n v="713218"/>
    <x v="18"/>
  </r>
  <r>
    <x v="704"/>
    <x v="12"/>
    <s v="CASH"/>
    <s v="W:HMBF(WC02003)~U$"/>
    <s v="SE0000106270"/>
    <s v="U$"/>
    <n v="1037968"/>
    <n v="1779503"/>
    <n v="2859600"/>
    <n v="2021233"/>
    <n v="2289158"/>
    <x v="18"/>
  </r>
  <r>
    <x v="705"/>
    <x v="12"/>
    <s v="CASH - GENERIC"/>
    <s v="W:HMBF(WC02005)~U$"/>
    <s v="SE0000106270"/>
    <s v="U$"/>
    <n v="1269062"/>
    <n v="1889151"/>
    <n v="3162992"/>
    <n v="2021233"/>
    <n v="2357568"/>
    <x v="18"/>
  </r>
  <r>
    <x v="706"/>
    <x v="12"/>
    <s v="CASH &amp; SHORT TERM INVESTMENTS"/>
    <s v="W:HMBF(WC02001)~U$"/>
    <s v="SE0000106270"/>
    <s v="U$"/>
    <n v="1269062"/>
    <n v="1889151"/>
    <n v="3162992"/>
    <n v="2021233"/>
    <n v="2357568"/>
    <x v="18"/>
  </r>
  <r>
    <x v="707"/>
    <x v="12"/>
    <s v="CASH DIVIDENDS PAID - TOTAL"/>
    <s v="W:HMBF(WC04551)~U$"/>
    <s v="SE0000106270"/>
    <s v="U$"/>
    <n v="1663325"/>
    <n v="0"/>
    <n v="1238669"/>
    <n v="995113"/>
    <n v="944617"/>
    <x v="18"/>
  </r>
  <r>
    <x v="708"/>
    <x v="12"/>
    <s v="CASH FLOW PER SHARE"/>
    <s v="W:HMBF(WC05501)~U$"/>
    <s v="SE0000106270"/>
    <s v="U$"/>
    <n v="1.542"/>
    <n v="1.6779999999999999"/>
    <n v="2.2010000000000001"/>
    <n v="1.4710000000000001"/>
    <n v="1.5960000000000001"/>
    <x v="18"/>
  </r>
  <r>
    <x v="709"/>
    <x v="12"/>
    <s v="CASH FLOW PER SHARE - FIS YR"/>
    <s v="W:HMBF(WC05502)~U$"/>
    <s v="SE0000106270"/>
    <s v="U$"/>
    <n v="1.542"/>
    <n v="1.6779999999999999"/>
    <n v="2.2010000000000001"/>
    <n v="1.4710000000000001"/>
    <n v="1.5960000000000001"/>
    <x v="18"/>
  </r>
  <r>
    <x v="710"/>
    <x v="12"/>
    <s v="COMMON DIVIDENDS (CASH)"/>
    <s v="W:HMBF(WC05376)~U$"/>
    <s v="SE0000106270"/>
    <s v="U$"/>
    <n v="1663325"/>
    <n v="0"/>
    <n v="1238669"/>
    <n v="995113"/>
    <n v="944617"/>
    <x v="18"/>
  </r>
  <r>
    <x v="711"/>
    <x v="12"/>
    <s v="COMMON SHAREHOLDERS' EQUITY"/>
    <s v="W:HMBF(WC03501)~U$"/>
    <s v="SE0000106270"/>
    <s v="U$"/>
    <n v="5882400"/>
    <n v="6238881"/>
    <n v="6910431"/>
    <n v="4726206"/>
    <n v="4243854"/>
    <x v="18"/>
  </r>
  <r>
    <x v="712"/>
    <x v="12"/>
    <s v="COMMON STOCK"/>
    <s v="W:HMBF(WC03480)~U$"/>
    <s v="SE0000106270"/>
    <s v="U$"/>
    <n v="21337"/>
    <n v="23643"/>
    <n v="23834"/>
    <n v="19275"/>
    <n v="18487"/>
    <x v="18"/>
  </r>
  <r>
    <x v="713"/>
    <x v="12"/>
    <s v="COST OF GOODS SOLD (EXCL DEP)"/>
    <s v="W:HMBF(WC01051)~U$"/>
    <s v="SE0000106270"/>
    <s v="U$"/>
    <n v="11310651"/>
    <n v="10572735"/>
    <n v="10719239"/>
    <n v="10255522"/>
    <n v="11167056"/>
    <x v="18"/>
  </r>
  <r>
    <x v="714"/>
    <x v="12"/>
    <s v="CURRENT ASSETS - TOTAL"/>
    <s v="W:HMBF(WC02201)~U$"/>
    <s v="SE0000106270"/>
    <s v="U$"/>
    <n v="6418701"/>
    <n v="7465002"/>
    <n v="9094393"/>
    <n v="7404733"/>
    <n v="7191931"/>
    <x v="18"/>
  </r>
  <r>
    <x v="715"/>
    <x v="12"/>
    <s v="CURRENT LIABILITIES-TOTAL"/>
    <s v="W:HMBF(WC03101)~U$"/>
    <s v="SE0000106270"/>
    <s v="U$"/>
    <n v="4930707"/>
    <n v="6425512"/>
    <n v="7043877"/>
    <n v="6362970"/>
    <n v="6066464"/>
    <x v="18"/>
  </r>
  <r>
    <x v="716"/>
    <x v="12"/>
    <s v="DEFERRED TAXES"/>
    <s v="W:HMBF(WC03263)~U$"/>
    <s v="SE0000106270"/>
    <s v="U$"/>
    <n v="10411"/>
    <n v="-197139"/>
    <n v="-233157"/>
    <n v="-303925"/>
    <n v="-293915"/>
    <x v="18"/>
  </r>
  <r>
    <x v="717"/>
    <x v="12"/>
    <s v="DEPRECIATION AND DEPLETION"/>
    <s v="W:HMBF(WC04049)~U$"/>
    <s v="SE0000106270"/>
    <s v="U$"/>
    <n v="973236"/>
    <n v="2964277"/>
    <n v="2569909"/>
    <n v="2102429"/>
    <n v="2050078"/>
    <x v="18"/>
  </r>
  <r>
    <x v="718"/>
    <x v="12"/>
    <s v="DEPRECIATION/DEPLETION/AMORT"/>
    <s v="W:HMBF(WC01151)~U$"/>
    <s v="SE0000106270"/>
    <s v="U$"/>
    <n v="1139084"/>
    <n v="2846861"/>
    <n v="2483094"/>
    <n v="1966482"/>
    <n v="1970058"/>
    <x v="18"/>
  </r>
  <r>
    <x v="719"/>
    <x v="12"/>
    <s v="DIVIDENDS PER SHARE"/>
    <s v="W:HMBF(WC05101)~U$"/>
    <s v="SE0000106270"/>
    <s v="U$"/>
    <n v="0"/>
    <n v="0"/>
    <n v="1.123"/>
    <n v="0.60499999999999998"/>
    <n v="0.58099999999999996"/>
    <x v="18"/>
  </r>
  <r>
    <x v="720"/>
    <x v="12"/>
    <s v="DIVIDENDS PER SHARE - FISCAL"/>
    <s v="W:HMBF(WC05110)~U$"/>
    <s v="SE0000106270"/>
    <s v="U$"/>
    <n v="0"/>
    <n v="0"/>
    <n v="1.123"/>
    <n v="0.60499999999999998"/>
    <n v="0.58099999999999996"/>
    <x v="18"/>
  </r>
  <r>
    <x v="721"/>
    <x v="12"/>
    <s v="EARNINGS BEF INTEREST &amp; TAXES"/>
    <s v="W:HMBF(WC18191)~U$"/>
    <s v="SE0000106270"/>
    <s v="U$"/>
    <n v="1826699"/>
    <n v="382742"/>
    <n v="1779823"/>
    <n v="682621"/>
    <n v="1353293"/>
    <x v="18"/>
  </r>
  <r>
    <x v="722"/>
    <x v="12"/>
    <s v="EBIT &amp; DEPRECIATION"/>
    <s v="W:HMBF(WC18198)~U$"/>
    <s v="SE0000106270"/>
    <s v="U$"/>
    <n v="2965784"/>
    <n v="3229603"/>
    <n v="4262918"/>
    <n v="2649104"/>
    <n v="3323351"/>
    <x v="18"/>
  </r>
  <r>
    <x v="723"/>
    <x v="12"/>
    <s v="EARNINGS PER SHARE"/>
    <s v="W:HMBF(WC05201)~U$"/>
    <s v="SE0000106270"/>
    <s v="U$"/>
    <n v="0.83699999999999997"/>
    <n v="8.5999999999999993E-2"/>
    <n v="0.76600000000000001"/>
    <n v="0.20100000000000001"/>
    <n v="0.48"/>
    <x v="18"/>
  </r>
  <r>
    <x v="724"/>
    <x v="12"/>
    <s v="FISCAL EPS-FULLY DILUTED-YR"/>
    <s v="W:HMBF(WC10030)~U$"/>
    <s v="SE0000106270"/>
    <s v="U$"/>
    <n v="0.83699999999999997"/>
    <n v="8.5999999999999993E-2"/>
    <n v="0.76600000000000001"/>
    <n v="0.20100000000000001"/>
    <n v="0.48"/>
    <x v="18"/>
  </r>
  <r>
    <x v="725"/>
    <x v="12"/>
    <s v="ENTERPRISE VALUE"/>
    <s v="W:HMBF(WC18100)~U$"/>
    <s v="SE0000106270"/>
    <s v="U$"/>
    <n v="32088298"/>
    <n v="41584858"/>
    <n v="35005979"/>
    <n v="22444962"/>
    <n v="28943108"/>
    <x v="18"/>
  </r>
  <r>
    <x v="726"/>
    <x v="12"/>
    <s v="GROSS INCOME"/>
    <s v="W:HMBF(WC01100)~U$"/>
    <s v="SE0000106270"/>
    <s v="U$"/>
    <n v="11541539"/>
    <n v="7942658"/>
    <n v="9706589"/>
    <n v="8593990"/>
    <n v="7942837"/>
    <x v="18"/>
  </r>
  <r>
    <x v="727"/>
    <x v="12"/>
    <s v="IMPAIRMENT- OTHER INTANGIBLES"/>
    <s v="W:HMBF(WC18226)~U$"/>
    <s v="SE0000106270"/>
    <s v="U$"/>
    <s v="NA"/>
    <s v="NA"/>
    <s v="NA"/>
    <n v="-1862"/>
    <n v="-13486"/>
    <x v="18"/>
  </r>
  <r>
    <x v="728"/>
    <x v="12"/>
    <s v="INCOME TAXES"/>
    <s v="W:HMBF(WC01451)~U$"/>
    <s v="SE0000106270"/>
    <s v="U$"/>
    <n v="406941"/>
    <n v="92402"/>
    <n v="378808"/>
    <n v="246753"/>
    <n v="382866"/>
    <x v="18"/>
  </r>
  <r>
    <x v="729"/>
    <x v="12"/>
    <s v="INCREASE/DECREASE IN CASH/SHOR"/>
    <s v="W:HMBF(WC04851)~U$"/>
    <s v="SE0000106270"/>
    <s v="U$"/>
    <n v="74420"/>
    <n v="482910"/>
    <n v="1258473"/>
    <n v="-536711"/>
    <n v="418947"/>
    <x v="18"/>
  </r>
  <r>
    <x v="730"/>
    <x v="12"/>
    <s v="INTEREST EXPENSE ON DEBT"/>
    <s v="W:HMBF(WC01251)~U$"/>
    <s v="SE0000106270"/>
    <s v="U$"/>
    <n v="34118"/>
    <n v="148368"/>
    <n v="133331"/>
    <n v="103823"/>
    <n v="191388"/>
    <x v="18"/>
  </r>
  <r>
    <x v="731"/>
    <x v="12"/>
    <s v="TOTAL INVENTORIES"/>
    <s v="W:HMBF(WC02101)~U$"/>
    <s v="SE0000106270"/>
    <s v="U$"/>
    <n v="3898614"/>
    <n v="4364121"/>
    <n v="4295387"/>
    <n v="3956895"/>
    <n v="3336390"/>
    <x v="18"/>
  </r>
  <r>
    <x v="732"/>
    <x v="12"/>
    <s v="LONG TERM DEBT"/>
    <s v="W:HMBF(WC03251)~U$"/>
    <s v="SE0000106270"/>
    <s v="U$"/>
    <n v="1097442"/>
    <n v="6726360"/>
    <n v="6281655"/>
    <n v="5486764"/>
    <n v="5609740"/>
    <x v="18"/>
  </r>
  <r>
    <x v="733"/>
    <x v="12"/>
    <s v="MARKET CAPITALIZATION"/>
    <s v="W:HMBF(WC08001)~U$"/>
    <s v="SE0000106270"/>
    <s v="U$"/>
    <n v="31533135"/>
    <n v="34329217"/>
    <n v="30490215"/>
    <n v="17702834"/>
    <n v="24329963"/>
    <x v="18"/>
  </r>
  <r>
    <x v="734"/>
    <x v="12"/>
    <s v="NET CASH FLOW - FINANCING"/>
    <s v="W:HMBF(WC04890)~U$"/>
    <s v="SE0000106270"/>
    <s v="U$"/>
    <n v="-1885452"/>
    <n v="-1731417"/>
    <n v="-3475480"/>
    <n v="-2341454"/>
    <n v="-1662479"/>
    <x v="18"/>
  </r>
  <r>
    <x v="735"/>
    <x v="12"/>
    <s v="NET CASH FLOW - INVESTING"/>
    <s v="W:HMBF(WC04870)~U$"/>
    <s v="SE0000106270"/>
    <s v="U$"/>
    <n v="1085176"/>
    <n v="598955"/>
    <n v="469538"/>
    <n v="634388"/>
    <n v="859059"/>
    <x v="18"/>
  </r>
  <r>
    <x v="736"/>
    <x v="12"/>
    <s v="NET CASH FLOW-OPERATING ACTIVS"/>
    <s v="W:HMBF(WC04860)~U$"/>
    <s v="SE0000106270"/>
    <s v="U$"/>
    <n v="2987739"/>
    <n v="2958223"/>
    <n v="5137401"/>
    <n v="2279067"/>
    <n v="3031937"/>
    <x v="18"/>
  </r>
  <r>
    <x v="737"/>
    <x v="12"/>
    <s v="NET DEBT"/>
    <s v="W:HMBF(WC18199)~U$"/>
    <s v="SE0000106270"/>
    <s v="U$"/>
    <n v="555163"/>
    <n v="7255642"/>
    <n v="4515764"/>
    <n v="4742128"/>
    <n v="4605822"/>
    <x v="18"/>
  </r>
  <r>
    <x v="738"/>
    <x v="12"/>
    <s v="NET INCOME - DILUTED"/>
    <s v="W:HMBF(WC01705)~U$"/>
    <s v="SE0000106270"/>
    <s v="U$"/>
    <n v="1385640"/>
    <n v="141972"/>
    <n v="1267684"/>
    <n v="332046"/>
    <n v="781629"/>
    <x v="18"/>
  </r>
  <r>
    <x v="739"/>
    <x v="12"/>
    <s v="NET SALES OR REVENUES"/>
    <s v="W:HMBF(WC01001)~U$"/>
    <s v="SE0000106270"/>
    <s v="U$"/>
    <n v="23991274"/>
    <n v="21362140"/>
    <n v="22908923"/>
    <n v="20815994"/>
    <n v="21079951"/>
    <x v="18"/>
  </r>
  <r>
    <x v="740"/>
    <x v="12"/>
    <s v="NON-OPERATING INTEREST INCOME"/>
    <s v="W:HMBF(WC01266)~U$"/>
    <s v="SE0000106270"/>
    <s v="U$"/>
    <n v="38756"/>
    <n v="28783"/>
    <n v="23373"/>
    <n v="15085"/>
    <n v="55014"/>
    <x v="18"/>
  </r>
  <r>
    <x v="741"/>
    <x v="12"/>
    <s v="OPERATING EXPENSES - TOTAL"/>
    <s v="W:HMBF(WC01249)~U$"/>
    <s v="SE0000106270"/>
    <s v="U$"/>
    <n v="22203332"/>
    <n v="20890766"/>
    <n v="21152472"/>
    <n v="19991280"/>
    <n v="19788459"/>
    <x v="18"/>
  </r>
  <r>
    <x v="742"/>
    <x v="12"/>
    <s v="OPERATING INCOME"/>
    <s v="W:HMBF(WC01250)~U$"/>
    <s v="SE0000106270"/>
    <s v="U$"/>
    <n v="1787943"/>
    <n v="471374"/>
    <n v="1756450"/>
    <n v="824714"/>
    <n v="1291491"/>
    <x v="18"/>
  </r>
  <r>
    <x v="743"/>
    <x v="12"/>
    <s v="PRETAX INCOME"/>
    <s v="W:HMBF(WC01401)~U$"/>
    <s v="SE0000106270"/>
    <s v="U$"/>
    <n v="1792581"/>
    <n v="234374"/>
    <n v="1646492"/>
    <n v="578799"/>
    <n v="1161905"/>
    <x v="18"/>
  </r>
  <r>
    <x v="744"/>
    <x v="12"/>
    <s v="PROPERTY, PLANT &amp; EQUIP - NET"/>
    <s v="W:HMBF(WC02501)~U$"/>
    <s v="SE0000106270"/>
    <s v="U$"/>
    <n v="4214952"/>
    <n v="10413631"/>
    <n v="9172227"/>
    <n v="7703910"/>
    <n v="7281864"/>
    <x v="18"/>
  </r>
  <r>
    <x v="745"/>
    <x v="12"/>
    <s v="RECEIVABLES(NET)"/>
    <s v="W:HMBF(WC02051)~U$"/>
    <s v="SE0000106270"/>
    <s v="U$"/>
    <n v="945200"/>
    <n v="818822"/>
    <n v="1082540"/>
    <n v="1008149"/>
    <n v="1093316"/>
    <x v="18"/>
  </r>
  <r>
    <x v="746"/>
    <x v="12"/>
    <s v="SELLING, GENERAL &amp; ADMINISTRAT"/>
    <s v="W:HMBF(WC01101)~U$"/>
    <s v="SE0000106270"/>
    <s v="U$"/>
    <n v="9753596"/>
    <n v="7471169"/>
    <n v="7950139"/>
    <n v="7769276"/>
    <n v="6651346"/>
    <x v="18"/>
  </r>
  <r>
    <x v="747"/>
    <x v="12"/>
    <s v="SHORT TERM DEBT &amp; CURRENT PORT"/>
    <s v="W:HMBF(WC03051)~U$"/>
    <s v="SE0000106270"/>
    <s v="U$"/>
    <n v="726783"/>
    <n v="2418433"/>
    <n v="1397100"/>
    <n v="1276598"/>
    <n v="1353650"/>
    <x v="18"/>
  </r>
  <r>
    <x v="748"/>
    <x v="12"/>
    <s v="TOTAL ASSETS"/>
    <s v="W:HMBF(WC02999)~U$"/>
    <s v="SE0000106270"/>
    <s v="U$"/>
    <n v="11973528"/>
    <n v="19263515"/>
    <n v="20052086"/>
    <n v="16342594"/>
    <n v="15679550"/>
    <x v="18"/>
  </r>
  <r>
    <x v="749"/>
    <x v="12"/>
    <s v="TOTAL CAPITAL"/>
    <s v="W:HMBF(WC03998)~U$"/>
    <s v="SE0000106270"/>
    <s v="U$"/>
    <n v="6979842"/>
    <n v="12965241"/>
    <n v="13192086"/>
    <n v="10212969"/>
    <n v="9860918"/>
    <x v="18"/>
  </r>
  <r>
    <x v="750"/>
    <x v="12"/>
    <s v="TOTAL DEBT"/>
    <s v="W:HMBF(WC03255)~U$"/>
    <s v="SE0000106270"/>
    <s v="U$"/>
    <n v="1824225"/>
    <n v="9144793"/>
    <n v="7678756"/>
    <n v="6763361"/>
    <n v="6963390"/>
    <x v="18"/>
  </r>
  <r>
    <x v="751"/>
    <x v="12"/>
    <s v="TOTAL INTANGIBLE OT ASSETS-NET"/>
    <s v="W:HMBF(WC02649)~U$"/>
    <s v="SE0000106270"/>
    <s v="U$"/>
    <n v="1180005"/>
    <n v="1191513"/>
    <n v="1100271"/>
    <n v="852555"/>
    <n v="868526"/>
    <x v="18"/>
  </r>
  <r>
    <x v="752"/>
    <x v="12"/>
    <s v="TOTAL LIABILITIES"/>
    <s v="W:HMBF(WC03351)~U$"/>
    <s v="SE0000106270"/>
    <s v="U$"/>
    <n v="6091127"/>
    <n v="13024634"/>
    <n v="13141655"/>
    <n v="11616389"/>
    <n v="11428372"/>
    <x v="18"/>
  </r>
  <r>
    <x v="753"/>
    <x v="12"/>
    <s v="TOTAL LIABILITIES &amp; SHAREHOLDE"/>
    <s v="W:HMBF(WC03999)~U$"/>
    <s v="SE0000106270"/>
    <s v="U$"/>
    <n v="11973528"/>
    <n v="19263515"/>
    <n v="20052086"/>
    <n v="16342594"/>
    <n v="15679550"/>
    <x v="18"/>
  </r>
  <r>
    <x v="754"/>
    <x v="12"/>
    <s v="TOTAL SHAREHOLDERS EQUITY"/>
    <s v="W:HMBF(WC03995)~U$"/>
    <s v="SE0000106270"/>
    <s v="U$"/>
    <n v="5882400"/>
    <n v="6238881"/>
    <n v="6910431"/>
    <n v="4726206"/>
    <n v="4243854"/>
    <x v="18"/>
  </r>
  <r>
    <x v="755"/>
    <x v="12"/>
    <s v="WORKING CAPITAL"/>
    <s v="W:HMBF(WC03151)~U$"/>
    <s v="SE0000106270"/>
    <s v="U$"/>
    <n v="1487994"/>
    <n v="1039490"/>
    <n v="2050516"/>
    <n v="1041763"/>
    <n v="1125467"/>
    <x v="18"/>
  </r>
  <r>
    <x v="756"/>
    <x v="12"/>
    <s v="BK VAL PS 12M FWD"/>
    <s v="W:HMBF(DIBV)~U$"/>
    <s v="SE0000106270"/>
    <s v="U$"/>
    <n v="3.4"/>
    <n v="3.95"/>
    <n v="4.58"/>
    <n v="3.26"/>
    <n v="2.88"/>
    <x v="341"/>
  </r>
  <r>
    <x v="757"/>
    <x v="12"/>
    <s v="EV 12M FWD"/>
    <s v="W:HMBF(DIEV)~U$"/>
    <s v="SE0000106270"/>
    <s v="U$"/>
    <n v="29058413.809999999"/>
    <n v="30762756.940000001"/>
    <n v="35126206.090000004"/>
    <n v="19176838.149999999"/>
    <n v="25793118.079999998"/>
    <x v="342"/>
  </r>
  <r>
    <x v="758"/>
    <x v="12"/>
    <s v="NET INCOME 12M FWD"/>
    <s v="W:HMBF(DINI)~U$"/>
    <s v="SE0000106270"/>
    <s v="U$"/>
    <n v="1380070.19"/>
    <n v="1033488.13"/>
    <n v="1620432.84"/>
    <n v="1059203.49"/>
    <n v="1249705.4099999999"/>
    <x v="343"/>
  </r>
  <r>
    <x v="759"/>
    <x v="12"/>
    <s v="PRETAX PRF 12M FWD"/>
    <s v="W:HMBF(DINP)~U$"/>
    <s v="SE0000106270"/>
    <s v="U$"/>
    <n v="1776348.98"/>
    <n v="1336154.1000000001"/>
    <n v="2132718.94"/>
    <n v="1369795.84"/>
    <n v="1658890.44"/>
    <x v="344"/>
  </r>
  <r>
    <x v="760"/>
    <x v="12"/>
    <s v="ROE 12M FWD"/>
    <s v="W:HMBF(DIRE)~U$"/>
    <s v="SE0000106270"/>
    <s v="U$"/>
    <n v="2.52"/>
    <n v="1.92"/>
    <n v="2.77"/>
    <n v="1.88"/>
    <n v="2.56"/>
    <x v="345"/>
  </r>
  <r>
    <x v="761"/>
    <x v="12"/>
    <s v="SALES 12M FWD"/>
    <s v="W:HMBF(DISL)~U$"/>
    <s v="SE0000106270"/>
    <s v="U$"/>
    <n v="24376266.98"/>
    <n v="24723992.48"/>
    <n v="25448032.539999999"/>
    <n v="21105853.309999999"/>
    <n v="22462715.399999999"/>
    <x v="346"/>
  </r>
  <r>
    <x v="762"/>
    <x v="12"/>
    <s v="DECREASE/INCREASE RECEIVABLES"/>
    <s v="W:HMBF(WC04825)~U$"/>
    <s v="SE0000106270"/>
    <s v="U$"/>
    <n v="77616"/>
    <n v="156820"/>
    <n v="-84743"/>
    <n v="-42088"/>
    <n v="-53049"/>
    <x v="18"/>
  </r>
  <r>
    <x v="763"/>
    <x v="12"/>
    <s v="DECREASE/INCR OTH ASTS/LIABILT"/>
    <s v="W:HMBF(WC04830)~U$"/>
    <s v="SE0000106270"/>
    <s v="U$"/>
    <n v="330562"/>
    <n v="251163"/>
    <n v="1434521"/>
    <n v="241911"/>
    <n v="16879"/>
    <x v="18"/>
  </r>
  <r>
    <x v="764"/>
    <x v="12"/>
    <s v="DECREASE/INCREASE INVENTORIES"/>
    <s v="W:HMBF(WC04826)~U$"/>
    <s v="SE0000106270"/>
    <s v="U$"/>
    <n v="28140"/>
    <n v="-226150"/>
    <n v="145421"/>
    <n v="-347689"/>
    <n v="468691"/>
    <x v="18"/>
  </r>
  <r>
    <x v="765"/>
    <x v="12"/>
    <s v="DECREASE IN INVESTMENTS"/>
    <s v="W:HMBF(WC04440)~U$"/>
    <s v="SE0000106270"/>
    <s v="U$"/>
    <n v="0"/>
    <n v="0"/>
    <n v="0"/>
    <n v="0"/>
    <n v="0"/>
    <x v="18"/>
  </r>
  <r>
    <x v="766"/>
    <x v="13"/>
    <s v="MARKET VALUE"/>
    <s v="F:LVMH(MV)~U$"/>
    <s v="FR0000121014"/>
    <s v="U$"/>
    <n v="203853.61"/>
    <n v="247737.75"/>
    <n v="373831.51"/>
    <n v="322804.01"/>
    <n v="397966.12"/>
    <x v="347"/>
  </r>
  <r>
    <x v="767"/>
    <x v="13"/>
    <s v="PER"/>
    <s v="F:LVMH(PE)"/>
    <s v="FR0000121014"/>
    <s v="E"/>
    <n v="27.7"/>
    <n v="47"/>
    <n v="33.6"/>
    <n v="24.2"/>
    <n v="23.2"/>
    <x v="348"/>
  </r>
  <r>
    <x v="768"/>
    <x v="13"/>
    <s v="12MTH FORWARD EPS"/>
    <s v="F:LVMH(EPS1FD12)~U$"/>
    <s v="FR0000121014"/>
    <s v="U$"/>
    <n v="17.02"/>
    <n v="14.574999999999999"/>
    <n v="25.745999999999999"/>
    <n v="30.140999999999998"/>
    <n v="37.56"/>
    <x v="349"/>
  </r>
  <r>
    <x v="769"/>
    <x v="5"/>
    <e v="#VALUE!"/>
    <s v="529E(F:LVMH)"/>
    <s v="FR0000121014"/>
    <s v="E"/>
    <n v="4.28"/>
    <n v="2.899"/>
    <n v="3.391"/>
    <n v="4.617"/>
    <n v="4.7910000000000004"/>
    <x v="350"/>
  </r>
  <r>
    <x v="769"/>
    <x v="5"/>
    <e v="#VALUE!"/>
    <s v="384E(F:LVMH)"/>
    <s v="FR0000121014"/>
    <s v="NA"/>
    <n v="17.129000000000001"/>
    <n v="22.800999999999998"/>
    <n v="20.977"/>
    <n v="15.545999999999999"/>
    <n v="15.664999999999999"/>
    <x v="351"/>
  </r>
  <r>
    <x v="769"/>
    <x v="5"/>
    <e v="#VALUE!"/>
    <s v="380E(F:LVMH)"/>
    <s v="FR0000121014"/>
    <s v="NA"/>
    <n v="13.893000000000001"/>
    <n v="16.466999999999999"/>
    <n v="16.303999999999998"/>
    <n v="12.484999999999999"/>
    <n v="12.798"/>
    <x v="352"/>
  </r>
  <r>
    <x v="769"/>
    <x v="5"/>
    <e v="#VALUE!"/>
    <s v="157E(F:LVMH)"/>
    <s v="FR0000121014"/>
    <s v="E"/>
    <n v="4.4000000000000004"/>
    <n v="2.8066"/>
    <n v="3.7816999999999998"/>
    <n v="4.6165000000000003"/>
    <n v="4.3855000000000004"/>
    <x v="353"/>
  </r>
  <r>
    <x v="769"/>
    <x v="5"/>
    <e v="#VALUE!"/>
    <s v="388E(F:LVMH)"/>
    <s v="FR0000121014"/>
    <s v="NA"/>
    <n v="3.7109999999999999"/>
    <n v="4.3760000000000003"/>
    <n v="5.298"/>
    <n v="4.2690000000000001"/>
    <n v="4.2850000000000001"/>
    <x v="354"/>
  </r>
  <r>
    <x v="769"/>
    <x v="5"/>
    <e v="#VALUE!"/>
    <s v="334E(F:LVMH)"/>
    <s v="FR0000121014"/>
    <s v="E"/>
    <n v="0.187"/>
    <n v="0.996"/>
    <n v="0.63400000000000001"/>
    <n v="-2.8000000000000001E-2"/>
    <n v="-6.2E-2"/>
    <x v="355"/>
  </r>
  <r>
    <x v="769"/>
    <x v="5"/>
    <e v="#VALUE!"/>
    <s v="338E(F:LVMH)"/>
    <s v="FR0000121014"/>
    <s v="E"/>
    <n v="1.4E-2"/>
    <n v="5.8000000000000003E-2"/>
    <n v="3.7999999999999999E-2"/>
    <n v="-3.0000000000000001E-3"/>
    <n v="-4.0000000000000001E-3"/>
    <x v="211"/>
  </r>
  <r>
    <x v="769"/>
    <x v="5"/>
    <e v="#VALUE!"/>
    <s v="251E(F:LVMH)"/>
    <s v="FR0000121014"/>
    <s v="E"/>
    <n v="1.58"/>
    <n v="1.77"/>
    <n v="1.58"/>
    <n v="1.69"/>
    <n v="1.52"/>
    <x v="356"/>
  </r>
  <r>
    <x v="769"/>
    <x v="5"/>
    <e v="#VALUE!"/>
    <s v="250E(F:LVMH)"/>
    <s v="FR0000121014"/>
    <s v="E"/>
    <n v="0.94"/>
    <n v="1"/>
    <n v="0.87"/>
    <n v="0.87"/>
    <n v="0.83"/>
    <x v="357"/>
  </r>
  <r>
    <x v="769"/>
    <x v="5"/>
    <e v="#VALUE!"/>
    <s v="553E(F:LVMH)"/>
    <s v="FR0000121014"/>
    <s v="E"/>
    <n v="4.5728"/>
    <n v="5.1416000000000004"/>
    <n v="6.3333000000000004"/>
    <n v="5.0773000000000001"/>
    <n v="5.1474000000000002"/>
    <x v="358"/>
  </r>
  <r>
    <x v="770"/>
    <x v="13"/>
    <s v="12MTH TRAILING EPS"/>
    <s v="F:LVMH(EPS1TR12)~U$"/>
    <s v="FR0000121014"/>
    <s v="U$"/>
    <n v="15.273"/>
    <n v="11.414999999999999"/>
    <n v="20.948"/>
    <n v="27.061"/>
    <n v="33.808"/>
    <x v="359"/>
  </r>
  <r>
    <x v="771"/>
    <x v="13"/>
    <s v="DIV.PER SHR."/>
    <s v="F:LVMH(DPS)~U$"/>
    <s v="FR0000121014"/>
    <s v="U$"/>
    <n v="6.64"/>
    <n v="5.69"/>
    <n v="8.2200000000000006"/>
    <n v="12.04"/>
    <n v="13.34"/>
    <x v="360"/>
  </r>
  <r>
    <x v="769"/>
    <x v="5"/>
    <e v="#VALUE!"/>
    <s v="354E(F:LVMH)"/>
    <s v="FR0000121014"/>
    <s v="E"/>
    <n v="2.0920000000000001"/>
    <n v="1.417"/>
    <n v="1.329"/>
    <n v="1.956"/>
    <n v="2.0459999999999998"/>
    <x v="361"/>
  </r>
  <r>
    <x v="768"/>
    <x v="13"/>
    <s v="12MTH FORWARD EPS"/>
    <s v="F:LVMH(EPS1FD12)~U$"/>
    <s v="FR0000121014"/>
    <s v="U$"/>
    <n v="17.02"/>
    <n v="14.574999999999999"/>
    <n v="25.745999999999999"/>
    <n v="30.140999999999998"/>
    <n v="37.56"/>
    <x v="349"/>
  </r>
  <r>
    <x v="767"/>
    <x v="13"/>
    <s v="PER"/>
    <s v="F:LVMH(PE)"/>
    <s v="FR0000121014"/>
    <s v="E"/>
    <n v="27.7"/>
    <n v="47"/>
    <n v="33.6"/>
    <n v="24.2"/>
    <n v="23.2"/>
    <x v="348"/>
  </r>
  <r>
    <x v="766"/>
    <x v="13"/>
    <s v="MARKET VALUE"/>
    <s v="F:LVMH(MV)~U$"/>
    <s v="FR0000121014"/>
    <s v="U$"/>
    <n v="203853.61"/>
    <n v="247737.75"/>
    <n v="373831.51"/>
    <n v="322804.01"/>
    <n v="397966.12"/>
    <x v="347"/>
  </r>
  <r>
    <x v="772"/>
    <x v="13"/>
    <s v="EARNINGS PER SHR"/>
    <s v="F:LVMH(EPS)~U$"/>
    <s v="FR0000121014"/>
    <s v="U$"/>
    <n v="14.54"/>
    <n v="10.43"/>
    <n v="22.06"/>
    <n v="26.48"/>
    <n v="34.17"/>
    <x v="362"/>
  </r>
  <r>
    <x v="769"/>
    <x v="5"/>
    <e v="#VALUE!"/>
    <s v="897E(F:LVMH)"/>
    <s v="FR0000121014"/>
    <s v="NA"/>
    <n v="1.2164999999999999"/>
    <n v="0.89810000000000001"/>
    <n v="0.8881"/>
    <n v="0.91590000000000005"/>
    <n v="0.93420000000000003"/>
    <x v="363"/>
  </r>
  <r>
    <x v="769"/>
    <x v="5"/>
    <e v="#VALUE!"/>
    <s v="400E(F:LVMH)"/>
    <s v="FR0000121014"/>
    <s v="NA"/>
    <n v="0.22720000000000001"/>
    <n v="0.28610000000000002"/>
    <n v="0.27510000000000001"/>
    <n v="0.29310000000000003"/>
    <n v="0.30009999999999998"/>
    <x v="364"/>
  </r>
  <r>
    <x v="773"/>
    <x v="13"/>
    <s v="ACCOUNTS PAYABLE"/>
    <s v="F:LVMH(WC03040)~U$"/>
    <s v="FR0000121014"/>
    <s v="U$"/>
    <n v="6429775"/>
    <n v="6045976"/>
    <n v="8316972"/>
    <n v="8814514"/>
    <n v="9660615"/>
    <x v="18"/>
  </r>
  <r>
    <x v="774"/>
    <x v="13"/>
    <s v="AMORT &amp; IMPAIR OF GOODWILL"/>
    <s v="F:LVMH(WC18224)~U$"/>
    <s v="FR0000121014"/>
    <s v="U$"/>
    <n v="24330"/>
    <n v="211099"/>
    <n v="91550"/>
    <n v="27081"/>
    <n v="0"/>
    <x v="18"/>
  </r>
  <r>
    <x v="775"/>
    <x v="13"/>
    <s v="AMORTIZATION OF DEFERRED CHARG"/>
    <s v="F:LVMH(WC01150)~U$"/>
    <s v="FR0000121014"/>
    <s v="U$"/>
    <n v="0"/>
    <n v="0"/>
    <n v="0"/>
    <n v="0"/>
    <n v="0"/>
    <x v="18"/>
  </r>
  <r>
    <x v="776"/>
    <x v="13"/>
    <s v="AMORTIZATION OF INTANGIBLES"/>
    <s v="F:LVMH(WC01149)~U$"/>
    <s v="FR0000121014"/>
    <s v="U$"/>
    <n v="525308"/>
    <n v="639227"/>
    <n v="620897"/>
    <n v="606825"/>
    <n v="827382"/>
    <x v="18"/>
  </r>
  <r>
    <x v="777"/>
    <x v="13"/>
    <s v="BOOK VALUE-OUT SHARES-FISCAL"/>
    <s v="F:LVMH(WC05491)~U$"/>
    <s v="FR0000121014"/>
    <s v="U$"/>
    <n v="80.334999999999994"/>
    <n v="88.051000000000002"/>
    <n v="109.907"/>
    <n v="110.31699999999999"/>
    <n v="130.40899999999999"/>
    <x v="18"/>
  </r>
  <r>
    <x v="778"/>
    <x v="13"/>
    <s v="BOOK VALUE PER SHARE"/>
    <s v="F:LVMH(WC05476)~U$"/>
    <s v="FR0000121014"/>
    <s v="U$"/>
    <n v="80.334999999999994"/>
    <n v="88.051000000000002"/>
    <n v="109.907"/>
    <n v="110.31699999999999"/>
    <n v="130.40899999999999"/>
    <x v="18"/>
  </r>
  <r>
    <x v="779"/>
    <x v="13"/>
    <s v="CAPITAL EXPENDITURES"/>
    <s v="F:LVMH(WC04601)~U$"/>
    <s v="FR0000121014"/>
    <s v="U$"/>
    <n v="3162910"/>
    <n v="2352926"/>
    <n v="3126787"/>
    <n v="4410266"/>
    <n v="7267080"/>
    <x v="18"/>
  </r>
  <r>
    <x v="780"/>
    <x v="13"/>
    <s v="CASH"/>
    <s v="F:LVMH(WC02003)~U$"/>
    <s v="FR0000121014"/>
    <s v="U$"/>
    <n v="6273842"/>
    <n v="23675133"/>
    <n v="9414399"/>
    <n v="7322025"/>
    <n v="8299439"/>
    <x v="18"/>
  </r>
  <r>
    <x v="781"/>
    <x v="13"/>
    <s v="CASH - GENERIC"/>
    <s v="F:LVMH(WC02005)~U$"/>
    <s v="FR0000121014"/>
    <s v="U$"/>
    <n v="7283540"/>
    <n v="25714968"/>
    <n v="12703159"/>
    <n v="11348136"/>
    <n v="12605027"/>
    <x v="18"/>
  </r>
  <r>
    <x v="782"/>
    <x v="13"/>
    <s v="CASH &amp; SHORT TERM INVESTMENTS"/>
    <s v="F:LVMH(WC02001)~U$"/>
    <s v="FR0000121014"/>
    <s v="U$"/>
    <n v="7283540"/>
    <n v="25714968"/>
    <n v="12703159"/>
    <n v="11348136"/>
    <n v="12605027"/>
    <x v="18"/>
  </r>
  <r>
    <x v="783"/>
    <x v="13"/>
    <s v="CASH DIVIDENDS PAID - TOTAL"/>
    <s v="F:LVMH(WC04551)~U$"/>
    <s v="FR0000121014"/>
    <s v="U$"/>
    <n v="3593110"/>
    <n v="2886604"/>
    <n v="4883844"/>
    <n v="6372168"/>
    <n v="7074914"/>
    <x v="18"/>
  </r>
  <r>
    <x v="784"/>
    <x v="13"/>
    <s v="CASH FLOW PER SHARE"/>
    <s v="F:LVMH(WC05501)~U$"/>
    <s v="FR0000121014"/>
    <s v="U$"/>
    <n v="28.152000000000001"/>
    <n v="26.55"/>
    <n v="42.49"/>
    <n v="41.662999999999997"/>
    <n v="49.058999999999997"/>
    <x v="18"/>
  </r>
  <r>
    <x v="785"/>
    <x v="13"/>
    <s v="CASH FLOW PER SHARE - FIS YR"/>
    <s v="F:LVMH(WC05502)~U$"/>
    <s v="FR0000121014"/>
    <s v="U$"/>
    <n v="28.152000000000001"/>
    <n v="26.55"/>
    <n v="42.49"/>
    <n v="41.662999999999997"/>
    <n v="49.058999999999997"/>
    <x v="18"/>
  </r>
  <r>
    <x v="786"/>
    <x v="13"/>
    <s v="COMMON DIVIDENDS (CASH)"/>
    <s v="F:LVMH(WC05376)~U$"/>
    <s v="FR0000121014"/>
    <s v="U$"/>
    <n v="3593110"/>
    <n v="2886604"/>
    <n v="4883844"/>
    <n v="6372168"/>
    <n v="7074914"/>
    <x v="18"/>
  </r>
  <r>
    <x v="787"/>
    <x v="13"/>
    <s v="COMMON SHAREHOLDERS' EQUITY"/>
    <s v="F:LVMH(WC03501)~U$"/>
    <s v="FR0000121014"/>
    <s v="U$"/>
    <n v="40460915"/>
    <n v="44368786"/>
    <n v="55304459"/>
    <n v="55277276"/>
    <n v="65141095"/>
    <x v="18"/>
  </r>
  <r>
    <x v="788"/>
    <x v="13"/>
    <s v="COMMON STOCK"/>
    <s v="F:LVMH(WC03480)~U$"/>
    <s v="FR0000121014"/>
    <s v="U$"/>
    <n v="168099"/>
    <n v="180264"/>
    <n v="178405"/>
    <n v="151456"/>
    <n v="161206"/>
    <x v="18"/>
  </r>
  <r>
    <x v="789"/>
    <x v="13"/>
    <s v="COST OF GOODS SOLD (EXCL DEP)"/>
    <s v="F:LVMH(WC01051)~U$"/>
    <s v="FR0000121014"/>
    <s v="U$"/>
    <n v="15085752"/>
    <n v="13178284"/>
    <n v="17955551"/>
    <n v="19381300"/>
    <n v="22260304"/>
    <x v="18"/>
  </r>
  <r>
    <x v="790"/>
    <x v="13"/>
    <s v="CURRENT ASSETS - TOTAL"/>
    <s v="F:LVMH(WC02201)~U$"/>
    <s v="FR0000121014"/>
    <s v="U$"/>
    <n v="29317740"/>
    <n v="47406006"/>
    <n v="40259731"/>
    <n v="39859900"/>
    <n v="46664328"/>
    <x v="18"/>
  </r>
  <r>
    <x v="791"/>
    <x v="13"/>
    <s v="CURRENT LIABILITIES-TOTAL"/>
    <s v="F:LVMH(WC03101)~U$"/>
    <s v="FR0000121014"/>
    <s v="U$"/>
    <n v="25019058"/>
    <n v="30025899"/>
    <n v="32851217"/>
    <n v="31638169"/>
    <n v="35385247"/>
    <x v="18"/>
  </r>
  <r>
    <x v="792"/>
    <x v="13"/>
    <s v="DEFERRED TAXES"/>
    <s v="F:LVMH(WC03263)~U$"/>
    <s v="FR0000121014"/>
    <s v="U$"/>
    <n v="3565462"/>
    <n v="3742860"/>
    <n v="4164355"/>
    <n v="3300929"/>
    <n v="3224120"/>
    <x v="18"/>
  </r>
  <r>
    <x v="793"/>
    <x v="13"/>
    <s v="DEPRECIATION AND DEPLETION"/>
    <s v="F:LVMH(WC04049)~U$"/>
    <s v="FR0000121014"/>
    <s v="U$"/>
    <n v="5649001"/>
    <n v="7175001"/>
    <n v="6842781"/>
    <n v="6244785"/>
    <n v="7662088"/>
    <x v="18"/>
  </r>
  <r>
    <x v="794"/>
    <x v="13"/>
    <s v="DEPRECIATION/DEPLETION/AMORT"/>
    <s v="F:LVMH(WC01151)~U$"/>
    <s v="FR0000121014"/>
    <s v="U$"/>
    <n v="4956700"/>
    <n v="5643939"/>
    <n v="5935496"/>
    <n v="5627929"/>
    <n v="6367102"/>
    <x v="18"/>
  </r>
  <r>
    <x v="795"/>
    <x v="13"/>
    <s v="DIVIDENDS PER SHARE"/>
    <s v="F:LVMH(WC05101)~U$"/>
    <s v="FR0000121014"/>
    <s v="U$"/>
    <n v="5.3079999999999998"/>
    <n v="7.1159999999999997"/>
    <n v="11.737"/>
    <n v="12.036"/>
    <n v="13.879"/>
    <x v="18"/>
  </r>
  <r>
    <x v="796"/>
    <x v="13"/>
    <s v="DIVIDENDS PER SHARE - FISCAL"/>
    <s v="F:LVMH(WC05110)~U$"/>
    <s v="FR0000121014"/>
    <s v="U$"/>
    <n v="5.3079999999999998"/>
    <n v="7.1159999999999997"/>
    <n v="11.737"/>
    <n v="12.036"/>
    <n v="13.879"/>
    <x v="18"/>
  </r>
  <r>
    <x v="797"/>
    <x v="13"/>
    <s v="EARNINGS BEF INTEREST &amp; TAXES"/>
    <s v="F:LVMH(WC18191)~U$"/>
    <s v="FR0000121014"/>
    <s v="U$"/>
    <n v="12341983"/>
    <n v="9167399"/>
    <n v="20481394"/>
    <n v="20556836"/>
    <n v="24125383"/>
    <x v="18"/>
  </r>
  <r>
    <x v="798"/>
    <x v="13"/>
    <s v="EBIT &amp; DEPRECIATION"/>
    <s v="F:LVMH(WC18198)~U$"/>
    <s v="FR0000121014"/>
    <s v="U$"/>
    <n v="17298683"/>
    <n v="14811338"/>
    <n v="26416890"/>
    <n v="26184765"/>
    <n v="30492485"/>
    <x v="18"/>
  </r>
  <r>
    <x v="799"/>
    <x v="13"/>
    <s v="EARNINGS PER SHARE"/>
    <s v="F:LVMH(WC05201)~U$"/>
    <s v="FR0000121014"/>
    <s v="U$"/>
    <n v="15.76"/>
    <n v="11.071"/>
    <n v="28.05"/>
    <n v="28.134"/>
    <n v="32.396000000000001"/>
    <x v="18"/>
  </r>
  <r>
    <x v="800"/>
    <x v="13"/>
    <s v="FISCAL EPS-FULLY DILUTED-YR"/>
    <s v="F:LVMH(WC10030)~U$"/>
    <s v="FR0000121014"/>
    <s v="U$"/>
    <n v="15.74"/>
    <n v="11.06"/>
    <n v="28.035"/>
    <n v="28.114000000000001"/>
    <n v="32.378999999999998"/>
    <x v="18"/>
  </r>
  <r>
    <x v="801"/>
    <x v="13"/>
    <s v="ENTERPRISE VALUE"/>
    <s v="F:LVMH(WC18100)~U$"/>
    <s v="FR0000121014"/>
    <s v="U$"/>
    <n v="253299098"/>
    <n v="325728946"/>
    <n v="459205700"/>
    <n v="367052320"/>
    <n v="421489546"/>
    <x v="18"/>
  </r>
  <r>
    <x v="802"/>
    <x v="13"/>
    <s v="GROSS INCOME"/>
    <s v="F:LVMH(WC01100)~U$"/>
    <s v="FR0000121014"/>
    <s v="U$"/>
    <n v="39311872"/>
    <n v="34131660"/>
    <n v="51479309"/>
    <n v="54413679"/>
    <n v="63348613"/>
    <x v="18"/>
  </r>
  <r>
    <x v="803"/>
    <x v="13"/>
    <s v="IMPAIRMENT OF GOODWILL"/>
    <s v="F:LVMH(WC18225)~U$"/>
    <s v="FR0000121014"/>
    <s v="U$"/>
    <n v="24330"/>
    <n v="211099"/>
    <n v="91550"/>
    <n v="27081"/>
    <n v="0"/>
    <x v="18"/>
  </r>
  <r>
    <x v="804"/>
    <x v="13"/>
    <s v="IMPAIRMENT- OTHER INTANGIBLES"/>
    <s v="F:LVMH(WC18226)~U$"/>
    <s v="FR0000121014"/>
    <s v="U$"/>
    <n v="46448"/>
    <n v="39136"/>
    <n v="0"/>
    <n v="16048"/>
    <n v="-2135"/>
    <x v="18"/>
  </r>
  <r>
    <x v="805"/>
    <x v="13"/>
    <s v="INCOME TAXES"/>
    <s v="F:LVMH(WC01451)~U$"/>
    <s v="FR0000121014"/>
    <s v="U$"/>
    <n v="3242535"/>
    <n v="2856955"/>
    <n v="5293472"/>
    <n v="5378178"/>
    <n v="6056434"/>
    <x v="18"/>
  </r>
  <r>
    <x v="806"/>
    <x v="13"/>
    <s v="INCREASE/DECREASE IN CASH/SHOR"/>
    <s v="F:LVMH(WC04851)~U$"/>
    <s v="FR0000121014"/>
    <s v="U$"/>
    <n v="1198809"/>
    <n v="16969768"/>
    <n v="-14071715"/>
    <n v="-719163"/>
    <n v="448387"/>
    <x v="18"/>
  </r>
  <r>
    <x v="807"/>
    <x v="13"/>
    <s v="INTEREST EXPENSE ON DEBT"/>
    <s v="F:LVMH(WC01251)~U$"/>
    <s v="FR0000121014"/>
    <s v="U$"/>
    <n v="493237"/>
    <n v="434058"/>
    <n v="284040"/>
    <n v="383153"/>
    <n v="1038764"/>
    <x v="18"/>
  </r>
  <r>
    <x v="808"/>
    <x v="13"/>
    <s v="TOTAL INVENTORIES"/>
    <s v="F:LVMH(WC02101)~U$"/>
    <s v="FR0000121014"/>
    <s v="U$"/>
    <n v="15169802"/>
    <n v="15436334"/>
    <n v="19423873"/>
    <n v="20380305"/>
    <n v="24503309"/>
    <x v="18"/>
  </r>
  <r>
    <x v="809"/>
    <x v="13"/>
    <s v="LONG TERM DEBT"/>
    <s v="F:LVMH(WC03251)~U$"/>
    <s v="FR0000121014"/>
    <s v="U$"/>
    <n v="17112890"/>
    <n v="29328560"/>
    <n v="28230286"/>
    <n v="23225864"/>
    <n v="26729233"/>
    <x v="18"/>
  </r>
  <r>
    <x v="810"/>
    <x v="13"/>
    <s v="MARKET CAPITALIZATION"/>
    <s v="F:LVMH(WC08001)~U$"/>
    <s v="FR0000121014"/>
    <s v="U$"/>
    <n v="230707518"/>
    <n v="305311619"/>
    <n v="429369766"/>
    <n v="341710090"/>
    <n v="391210579"/>
    <x v="18"/>
  </r>
  <r>
    <x v="811"/>
    <x v="13"/>
    <s v="NET CASH FLOW - FINANCING"/>
    <s v="F:LVMH(WC04890)~U$"/>
    <s v="FR0000121014"/>
    <s v="U$"/>
    <n v="-5235390"/>
    <n v="8779593"/>
    <n v="-17788883"/>
    <n v="-12723272"/>
    <n v="-10032137"/>
    <x v="18"/>
  </r>
  <r>
    <x v="812"/>
    <x v="13"/>
    <s v="NET CASH FLOW - INVESTING"/>
    <s v="F:LVMH(WC04870)~U$"/>
    <s v="FR0000121014"/>
    <s v="U$"/>
    <n v="6499448"/>
    <n v="3499740"/>
    <n v="18766591"/>
    <n v="5944882"/>
    <n v="8877005"/>
    <x v="18"/>
  </r>
  <r>
    <x v="813"/>
    <x v="13"/>
    <s v="NET CASH FLOW-OPERATING ACTIVS"/>
    <s v="F:LVMH(WC04860)~U$"/>
    <s v="FR0000121014"/>
    <s v="U$"/>
    <n v="12890516"/>
    <n v="12937536"/>
    <n v="21899246"/>
    <n v="17893825"/>
    <n v="19648981"/>
    <x v="18"/>
  </r>
  <r>
    <x v="814"/>
    <x v="13"/>
    <s v="NET DEBT"/>
    <s v="F:LVMH(WC18199)~U$"/>
    <s v="FR0000121014"/>
    <s v="U$"/>
    <n v="20624162"/>
    <n v="18736834"/>
    <n v="27734977"/>
    <n v="23844726"/>
    <n v="28481147"/>
    <x v="18"/>
  </r>
  <r>
    <x v="815"/>
    <x v="13"/>
    <s v="NET INCOME - DILUTED"/>
    <s v="F:LVMH(WC01705)~U$"/>
    <s v="FR0000121014"/>
    <s v="U$"/>
    <n v="7930499"/>
    <n v="5576340"/>
    <n v="14126880"/>
    <n v="14126493"/>
    <n v="16199600"/>
    <x v="18"/>
  </r>
  <r>
    <x v="816"/>
    <x v="13"/>
    <s v="NET SALES OR REVENUES"/>
    <s v="F:LVMH(WC01001)~U$"/>
    <s v="FR0000121014"/>
    <s v="U$"/>
    <n v="59354324"/>
    <n v="52953883"/>
    <n v="75370356"/>
    <n v="79422907"/>
    <n v="91976020"/>
    <x v="18"/>
  </r>
  <r>
    <x v="817"/>
    <x v="13"/>
    <s v="NON-OPERATING INTEREST INCOME"/>
    <s v="F:LVMH(WC01266)~U$"/>
    <s v="FR0000121014"/>
    <s v="U$"/>
    <n v="55296"/>
    <n v="54554"/>
    <n v="51644"/>
    <n v="113341"/>
    <n v="226329"/>
    <x v="18"/>
  </r>
  <r>
    <x v="818"/>
    <x v="13"/>
    <s v="OPERATING EXPENSES - TOTAL"/>
    <s v="F:LVMH(WC01249)~U$"/>
    <s v="FR0000121014"/>
    <s v="U$"/>
    <n v="46777887"/>
    <n v="42870930"/>
    <n v="55275116"/>
    <n v="58291343"/>
    <n v="67590145"/>
    <x v="18"/>
  </r>
  <r>
    <x v="819"/>
    <x v="13"/>
    <s v="OPERATING INCOME"/>
    <s v="F:LVMH(WC01250)~U$"/>
    <s v="FR0000121014"/>
    <s v="U$"/>
    <n v="12576437"/>
    <n v="10082952"/>
    <n v="20095241"/>
    <n v="21131565"/>
    <n v="24385874"/>
    <x v="18"/>
  </r>
  <r>
    <x v="820"/>
    <x v="13"/>
    <s v="PRETAX INCOME"/>
    <s v="F:LVMH(WC01401)~U$"/>
    <s v="FR0000121014"/>
    <s v="U$"/>
    <n v="11848747"/>
    <n v="8733341"/>
    <n v="20197354"/>
    <n v="20173683"/>
    <n v="23086618"/>
    <x v="18"/>
  </r>
  <r>
    <x v="821"/>
    <x v="13"/>
    <s v="PROPERTY, PLANT &amp; EQUIP - NET"/>
    <s v="F:LVMH(WC02501)~U$"/>
    <s v="FR0000121014"/>
    <s v="U$"/>
    <n v="33466018"/>
    <n v="35714904"/>
    <n v="39049626"/>
    <n v="37064492"/>
    <n v="45233758"/>
    <x v="18"/>
  </r>
  <r>
    <x v="822"/>
    <x v="13"/>
    <s v="RECEIVABLES(NET)"/>
    <s v="F:LVMH(WC02051)~U$"/>
    <s v="FR0000121014"/>
    <s v="U$"/>
    <n v="6082519"/>
    <n v="5547877"/>
    <n v="7173770"/>
    <n v="7131452"/>
    <n v="8480929"/>
    <x v="18"/>
  </r>
  <r>
    <x v="823"/>
    <x v="13"/>
    <s v="RESEARCH &amp; DEVELOPMENT"/>
    <s v="F:LVMH(WC01201)~U$"/>
    <s v="FR0000121014"/>
    <s v="U$"/>
    <n v="154828"/>
    <n v="164847"/>
    <n v="172537"/>
    <n v="172519"/>
    <s v="NA"/>
    <x v="18"/>
  </r>
  <r>
    <x v="824"/>
    <x v="13"/>
    <s v="SELLING, GENERAL &amp; ADMINISTRAT"/>
    <s v="F:LVMH(WC01101)~U$"/>
    <s v="FR0000121014"/>
    <s v="U$"/>
    <n v="26620420"/>
    <n v="24048707"/>
    <n v="31364115"/>
    <n v="33278102"/>
    <n v="38947792"/>
    <x v="18"/>
  </r>
  <r>
    <x v="825"/>
    <x v="13"/>
    <s v="SHORT TERM DEBT &amp; CURRENT PORT"/>
    <s v="F:LVMH(WC03051)~U$"/>
    <s v="FR0000121014"/>
    <s v="U$"/>
    <n v="10794812"/>
    <n v="15123243"/>
    <n v="12207850"/>
    <n v="11966997"/>
    <n v="14356941"/>
    <x v="18"/>
  </r>
  <r>
    <x v="826"/>
    <x v="13"/>
    <s v="TOTAL ASSETS"/>
    <s v="F:LVMH(WC02999)~U$"/>
    <s v="FR0000121014"/>
    <s v="U$"/>
    <n v="104213452"/>
    <n v="126121109"/>
    <n v="143375627"/>
    <n v="131380197"/>
    <n v="149144358"/>
    <x v="18"/>
  </r>
  <r>
    <x v="827"/>
    <x v="13"/>
    <s v="TOTAL CAPITAL"/>
    <s v="F:LVMH(WC03998)~U$"/>
    <s v="FR0000121014"/>
    <s v="U$"/>
    <n v="59541223"/>
    <n v="75377838"/>
    <n v="85635702"/>
    <n v="80000645"/>
    <n v="93668149"/>
    <x v="18"/>
  </r>
  <r>
    <x v="828"/>
    <x v="13"/>
    <s v="TOTAL DEBT"/>
    <s v="F:LVMH(WC03255)~U$"/>
    <s v="FR0000121014"/>
    <s v="U$"/>
    <n v="27907702"/>
    <n v="44451803"/>
    <n v="40438136"/>
    <n v="35192862"/>
    <n v="41086174"/>
    <x v="18"/>
  </r>
  <r>
    <x v="829"/>
    <x v="13"/>
    <s v="TOTAL INTANGIBLE OT ASSETS-NET"/>
    <s v="F:LVMH(WC02649)~U$"/>
    <s v="FR0000121014"/>
    <s v="U$"/>
    <n v="37167507"/>
    <n v="39571616"/>
    <n v="59580317"/>
    <n v="50649355"/>
    <n v="53309003"/>
    <x v="18"/>
  </r>
  <r>
    <x v="830"/>
    <x v="13"/>
    <s v="TOTAL LIABILITIES"/>
    <s v="F:LVMH(WC03351)~U$"/>
    <s v="FR0000121014"/>
    <s v="U$"/>
    <n v="61785119"/>
    <n v="80071830"/>
    <n v="85970211"/>
    <n v="74605416"/>
    <n v="82205442"/>
    <x v="18"/>
  </r>
  <r>
    <x v="831"/>
    <x v="13"/>
    <s v="TOTAL LIABILITIES &amp; SHAREHOLDE"/>
    <s v="F:LVMH(WC03999)~U$"/>
    <s v="FR0000121014"/>
    <s v="U$"/>
    <n v="104213452"/>
    <n v="126121109"/>
    <n v="143375627"/>
    <n v="131380197"/>
    <n v="149144358"/>
    <x v="18"/>
  </r>
  <r>
    <x v="832"/>
    <x v="13"/>
    <s v="TOTAL SHAREHOLDERS EQUITY"/>
    <s v="F:LVMH(WC03995)~U$"/>
    <s v="FR0000121014"/>
    <s v="U$"/>
    <n v="40460915"/>
    <n v="44368786"/>
    <n v="55304459"/>
    <n v="55277276"/>
    <n v="65141095"/>
    <x v="18"/>
  </r>
  <r>
    <x v="833"/>
    <x v="13"/>
    <s v="WORKING CAPITAL"/>
    <s v="F:LVMH(WC03151)~U$"/>
    <s v="FR0000121014"/>
    <s v="U$"/>
    <n v="4298682"/>
    <n v="17380107"/>
    <n v="7408513"/>
    <n v="8221731"/>
    <n v="11279081"/>
    <x v="18"/>
  </r>
  <r>
    <x v="834"/>
    <x v="13"/>
    <s v="BK VAL PS 12M FWD"/>
    <s v="F:LVMH(DIBV)~U$"/>
    <s v="FR0000121014"/>
    <s v="U$"/>
    <n v="88.2"/>
    <n v="95.46"/>
    <n v="116.94"/>
    <n v="126.33"/>
    <n v="154"/>
    <x v="365"/>
  </r>
  <r>
    <x v="835"/>
    <x v="13"/>
    <s v="EV 12M FWD"/>
    <s v="F:LVMH(DIEV)~U$"/>
    <s v="FR0000121014"/>
    <s v="U$"/>
    <n v="216035512.19999999"/>
    <n v="278925518.60000002"/>
    <n v="418151296.39999998"/>
    <n v="305662357.19999999"/>
    <n v="470863652.89999998"/>
    <x v="366"/>
  </r>
  <r>
    <x v="836"/>
    <x v="13"/>
    <s v="NET INCOME 12M FWD"/>
    <s v="F:LVMH(DINI)~U$"/>
    <s v="FR0000121014"/>
    <s v="U$"/>
    <n v="8606483.1199999992"/>
    <n v="7404548.1500000004"/>
    <n v="13095121.439999999"/>
    <n v="15175950.9"/>
    <n v="18883348.440000001"/>
    <x v="367"/>
  </r>
  <r>
    <x v="837"/>
    <x v="13"/>
    <s v="PRETAX PRF 12M FWD"/>
    <s v="F:LVMH(DINP)~U$"/>
    <s v="FR0000121014"/>
    <s v="U$"/>
    <n v="12921006.09"/>
    <n v="11047431.6"/>
    <n v="18640594.449999999"/>
    <n v="22047551.960000001"/>
    <n v="26897425.190000001"/>
    <x v="368"/>
  </r>
  <r>
    <x v="838"/>
    <x v="13"/>
    <s v="ROE 12M FWD"/>
    <s v="F:LVMH(DIRE)~U$"/>
    <s v="FR0000121014"/>
    <s v="U$"/>
    <n v="22.93"/>
    <n v="19.46"/>
    <n v="27.31"/>
    <n v="25.71"/>
    <n v="27.78"/>
    <x v="369"/>
  </r>
  <r>
    <x v="839"/>
    <x v="13"/>
    <s v="SALES 12M FWD"/>
    <s v="F:LVMH(DISL)~U$"/>
    <s v="FR0000121014"/>
    <s v="U$"/>
    <n v="61022393.740000002"/>
    <n v="61274825.670000002"/>
    <n v="76185527.709999993"/>
    <n v="81548613.640000001"/>
    <n v="99933035.819999993"/>
    <x v="370"/>
  </r>
  <r>
    <x v="840"/>
    <x v="13"/>
    <s v="DECREASE/INCREASE RECEIVABLES"/>
    <s v="F:LVMH(WC04825)~U$"/>
    <s v="FR0000121014"/>
    <s v="U$"/>
    <n v="-133815"/>
    <n v="626182"/>
    <s v="NA"/>
    <n v="-395189"/>
    <n v="-741975"/>
    <x v="18"/>
  </r>
  <r>
    <x v="841"/>
    <x v="13"/>
    <s v="DECREASE/INCR OTH ASTS/LIABILT"/>
    <s v="F:LVMH(WC04830)~U$"/>
    <s v="FR0000121014"/>
    <s v="U$"/>
    <n v="119439"/>
    <n v="268025"/>
    <s v="NA"/>
    <n v="14042"/>
    <n v="-88610"/>
    <x v="18"/>
  </r>
  <r>
    <x v="842"/>
    <x v="13"/>
    <s v="DECREASE/INCREASE INVENTORIES"/>
    <s v="F:LVMH(WC04826)~U$"/>
    <s v="FR0000121014"/>
    <s v="U$"/>
    <n v="-1773884"/>
    <n v="-666504"/>
    <s v="NA"/>
    <n v="-4181578"/>
    <n v="-4515903"/>
    <x v="18"/>
  </r>
  <r>
    <x v="843"/>
    <x v="13"/>
    <s v="DECREASE IN INVESTMENTS"/>
    <s v="F:LVMH(WC04440)~U$"/>
    <s v="FR0000121014"/>
    <s v="U$"/>
    <n v="0"/>
    <n v="74715"/>
    <n v="0"/>
    <n v="0"/>
    <n v="0"/>
    <x v="18"/>
  </r>
  <r>
    <x v="844"/>
    <x v="14"/>
    <s v="MARKET VALUE"/>
    <s v="F:RMS(MV)~U$"/>
    <s v="FR0000052292"/>
    <s v="U$"/>
    <n v="72548.41"/>
    <n v="93148.42"/>
    <n v="158292.79"/>
    <n v="129871.03"/>
    <n v="211252.9"/>
    <x v="371"/>
  </r>
  <r>
    <x v="845"/>
    <x v="14"/>
    <s v="PER"/>
    <s v="F:RMS(PE)"/>
    <s v="FR0000052292"/>
    <s v="E"/>
    <n v="44.6"/>
    <n v="69.900000000000006"/>
    <n v="60.1"/>
    <n v="44.1"/>
    <n v="49.6"/>
    <x v="372"/>
  </r>
  <r>
    <x v="846"/>
    <x v="14"/>
    <s v="12MTH FORWARD EPS"/>
    <s v="F:RMS(EPS1FD12)~U$"/>
    <s v="FR0000052292"/>
    <s v="U$"/>
    <n v="17.027000000000001"/>
    <n v="16.532"/>
    <n v="26.943000000000001"/>
    <n v="30.765000000000001"/>
    <n v="45.164000000000001"/>
    <x v="373"/>
  </r>
  <r>
    <x v="847"/>
    <x v="14"/>
    <e v="#VALUE!"/>
    <s v="529E(F:RMS)"/>
    <s v="FR0000052292"/>
    <s v="E"/>
    <n v="2.5"/>
    <n v="1.857"/>
    <n v="1.8080000000000001"/>
    <n v="2.3620000000000001"/>
    <n v="2.3039999999999998"/>
    <x v="374"/>
  </r>
  <r>
    <x v="847"/>
    <x v="14"/>
    <e v="#VALUE!"/>
    <s v="384E(F:RMS)"/>
    <s v="FR0000052292"/>
    <s v="NA"/>
    <n v="25.962"/>
    <n v="34.167999999999999"/>
    <n v="37.655999999999999"/>
    <n v="26.501000000000001"/>
    <n v="30.943000000000001"/>
    <x v="375"/>
  </r>
  <r>
    <x v="847"/>
    <x v="14"/>
    <e v="#VALUE!"/>
    <s v="380E(F:RMS)"/>
    <s v="FR0000052292"/>
    <s v="NA"/>
    <n v="23.32"/>
    <n v="28.641999999999999"/>
    <n v="32.712000000000003"/>
    <n v="23.393000000000001"/>
    <n v="27.765999999999998"/>
    <x v="376"/>
  </r>
  <r>
    <x v="847"/>
    <x v="14"/>
    <e v="#VALUE!"/>
    <s v="157E(F:RMS)"/>
    <s v="FR0000052292"/>
    <s v="E"/>
    <n v="2.5297999999999998"/>
    <n v="1.9227000000000001"/>
    <n v="1.5072000000000001"/>
    <n v="2.4177"/>
    <n v="2.1276000000000002"/>
    <x v="377"/>
  </r>
  <r>
    <x v="847"/>
    <x v="14"/>
    <e v="#VALUE!"/>
    <s v="388E(F:RMS)"/>
    <s v="FR0000052292"/>
    <s v="NA"/>
    <n v="8.8179999999999996"/>
    <n v="10.930999999999999"/>
    <n v="13.765000000000001"/>
    <n v="10.37"/>
    <n v="12.836"/>
    <x v="378"/>
  </r>
  <r>
    <x v="847"/>
    <x v="14"/>
    <e v="#VALUE!"/>
    <s v="334E(F:RMS)"/>
    <s v="FR0000052292"/>
    <s v="E"/>
    <n v="-1.8460000000000001"/>
    <n v="-1.978"/>
    <n v="-1.3740000000000001"/>
    <n v="-1.766"/>
    <n v="-1.837"/>
    <x v="379"/>
  </r>
  <r>
    <x v="847"/>
    <x v="14"/>
    <e v="#VALUE!"/>
    <s v="338E(F:RMS)"/>
    <s v="FR0000052292"/>
    <s v="E"/>
    <n v="-8.1000000000000003E-2"/>
    <n v="-7.1999999999999995E-2"/>
    <n v="-4.2999999999999997E-2"/>
    <n v="-7.1999999999999995E-2"/>
    <n v="-6.7000000000000004E-2"/>
    <x v="380"/>
  </r>
  <r>
    <x v="847"/>
    <x v="14"/>
    <e v="#VALUE!"/>
    <s v="251E(F:RMS)"/>
    <s v="FR0000052292"/>
    <s v="E"/>
    <n v="2.71"/>
    <n v="2.76"/>
    <n v="2.96"/>
    <n v="3.3"/>
    <n v="3.16"/>
    <x v="381"/>
  </r>
  <r>
    <x v="847"/>
    <x v="14"/>
    <e v="#VALUE!"/>
    <s v="250E(F:RMS)"/>
    <s v="FR0000052292"/>
    <s v="E"/>
    <n v="1.6"/>
    <n v="1.56"/>
    <n v="1.63"/>
    <n v="1.71"/>
    <n v="1.72"/>
    <x v="382"/>
  </r>
  <r>
    <x v="847"/>
    <x v="14"/>
    <e v="#VALUE!"/>
    <s v="553E(F:RMS)"/>
    <s v="FR0000052292"/>
    <s v="E"/>
    <n v="8.8158999999999992"/>
    <n v="9.5543999999999993"/>
    <n v="12.933400000000001"/>
    <n v="9.7441999999999993"/>
    <n v="11.4145"/>
    <x v="383"/>
  </r>
  <r>
    <x v="848"/>
    <x v="14"/>
    <s v="12MTH TRAILING EPS"/>
    <s v="F:RMS(EPS1TR12)~U$"/>
    <s v="FR0000052292"/>
    <s v="U$"/>
    <n v="15.59"/>
    <n v="13.965"/>
    <n v="22.908000000000001"/>
    <n v="27.228999999999999"/>
    <n v="39.597000000000001"/>
    <x v="384"/>
  </r>
  <r>
    <x v="849"/>
    <x v="14"/>
    <s v="DIV.PER SHR."/>
    <s v="F:RMS(DPS)~U$"/>
    <s v="FR0000052292"/>
    <s v="U$"/>
    <n v="5.03"/>
    <n v="5.4"/>
    <n v="5.34"/>
    <n v="8.02"/>
    <n v="9.61"/>
    <x v="360"/>
  </r>
  <r>
    <x v="847"/>
    <x v="14"/>
    <e v="#VALUE!"/>
    <s v="354E(F:RMS)"/>
    <s v="FR0000052292"/>
    <s v="E"/>
    <n v="0.92800000000000005"/>
    <n v="0.76300000000000001"/>
    <n v="0.57199999999999995"/>
    <n v="0.80500000000000005"/>
    <n v="0.91700000000000004"/>
    <x v="385"/>
  </r>
  <r>
    <x v="846"/>
    <x v="14"/>
    <s v="12MTH FORWARD EPS"/>
    <s v="F:RMS(EPS1FD12)~U$"/>
    <s v="FR0000052292"/>
    <s v="U$"/>
    <n v="17.027000000000001"/>
    <n v="16.532"/>
    <n v="26.943000000000001"/>
    <n v="30.765000000000001"/>
    <n v="45.164000000000001"/>
    <x v="373"/>
  </r>
  <r>
    <x v="845"/>
    <x v="14"/>
    <s v="PER"/>
    <s v="F:RMS(PE)"/>
    <s v="FR0000052292"/>
    <s v="E"/>
    <n v="44.6"/>
    <n v="69.900000000000006"/>
    <n v="60.1"/>
    <n v="44.1"/>
    <n v="49.6"/>
    <x v="372"/>
  </r>
  <r>
    <x v="844"/>
    <x v="14"/>
    <s v="MARKET VALUE"/>
    <s v="F:RMS(MV)~U$"/>
    <s v="FR0000052292"/>
    <s v="U$"/>
    <n v="72548.41"/>
    <n v="93148.42"/>
    <n v="158292.79"/>
    <n v="129871.03"/>
    <n v="211252.9"/>
    <x v="371"/>
  </r>
  <r>
    <x v="850"/>
    <x v="14"/>
    <s v="EARNINGS PER SHR"/>
    <s v="F:RMS(EPS)~U$"/>
    <s v="FR0000052292"/>
    <s v="U$"/>
    <n v="15.39"/>
    <n v="12.62"/>
    <n v="24.96"/>
    <n v="27.92"/>
    <n v="40.32"/>
    <x v="386"/>
  </r>
  <r>
    <x v="847"/>
    <x v="14"/>
    <e v="#VALUE!"/>
    <s v="897E(F:RMS)"/>
    <s v="FR0000052292"/>
    <s v="NA"/>
    <n v="0.62409999999999999"/>
    <n v="0.73080000000000001"/>
    <n v="0.72550000000000003"/>
    <n v="0.86380000000000001"/>
    <n v="0.86509999999999998"/>
    <x v="387"/>
  </r>
  <r>
    <x v="847"/>
    <x v="14"/>
    <e v="#VALUE!"/>
    <s v="400E(F:RMS)"/>
    <s v="FR0000052292"/>
    <s v="NA"/>
    <n v="0.18940000000000001"/>
    <n v="0.252"/>
    <n v="0.24"/>
    <n v="0.31409999999999999"/>
    <n v="0.31380000000000002"/>
    <x v="388"/>
  </r>
  <r>
    <x v="851"/>
    <x v="14"/>
    <s v="ACCOUNTS PAYABLE"/>
    <s v="F:RMS(WC03040)~U$"/>
    <s v="FR0000052292"/>
    <s v="U$"/>
    <n v="448558"/>
    <n v="441885"/>
    <n v="528173"/>
    <n v="660988"/>
    <n v="731299"/>
    <x v="18"/>
  </r>
  <r>
    <x v="852"/>
    <x v="14"/>
    <s v="AMORTIZATION OF DEFERRED CHARG"/>
    <s v="F:RMS(WC01150)~U$"/>
    <s v="FR0000052292"/>
    <s v="U$"/>
    <n v="0"/>
    <n v="0"/>
    <n v="0"/>
    <n v="0"/>
    <n v="0"/>
    <x v="18"/>
  </r>
  <r>
    <x v="853"/>
    <x v="14"/>
    <s v="AMORTIZATION-INTANGIBLE ASSETS"/>
    <s v="F:RMS(WC04050)~U$"/>
    <s v="FR0000052292"/>
    <s v="U$"/>
    <s v="NA"/>
    <s v="NA"/>
    <s v="NA"/>
    <n v="83250"/>
    <s v="NA"/>
    <x v="18"/>
  </r>
  <r>
    <x v="854"/>
    <x v="14"/>
    <s v="AMORTIZATION OF INTANGIBLES"/>
    <s v="F:RMS(WC01149)~U$"/>
    <s v="FR0000052292"/>
    <s v="U$"/>
    <n v="51314"/>
    <n v="77798"/>
    <n v="102114"/>
    <n v="83250"/>
    <n v="101421"/>
    <x v="18"/>
  </r>
  <r>
    <x v="855"/>
    <x v="14"/>
    <s v="BOOK VALUE-OUT SHARES-FISCAL"/>
    <s v="F:RMS(WC05491)~U$"/>
    <s v="FR0000052292"/>
    <s v="U$"/>
    <n v="69.703999999999994"/>
    <n v="83.673000000000002"/>
    <n v="105.43300000000001"/>
    <n v="118.324"/>
    <n v="155.34200000000001"/>
    <x v="18"/>
  </r>
  <r>
    <x v="856"/>
    <x v="14"/>
    <s v="BOOK VALUE PER SHARE"/>
    <s v="F:RMS(WC05476)~U$"/>
    <s v="FR0000052292"/>
    <s v="U$"/>
    <n v="69.703999999999994"/>
    <n v="83.673000000000002"/>
    <n v="105.43300000000001"/>
    <n v="118.324"/>
    <n v="155.34200000000001"/>
    <x v="18"/>
  </r>
  <r>
    <x v="857"/>
    <x v="14"/>
    <s v="CAPITAL EXPENDITURES"/>
    <s v="F:RMS(WC04601)~U$"/>
    <s v="FR0000052292"/>
    <s v="U$"/>
    <n v="528626"/>
    <n v="531780"/>
    <n v="624418"/>
    <n v="519563"/>
    <n v="917059"/>
    <x v="18"/>
  </r>
  <r>
    <x v="858"/>
    <x v="14"/>
    <s v="CASH"/>
    <s v="F:RMS(WC02003)~U$"/>
    <s v="FR0000052292"/>
    <s v="U$"/>
    <n v="4848542"/>
    <n v="5612749"/>
    <n v="7859221"/>
    <n v="9252833"/>
    <n v="11343136"/>
    <x v="18"/>
  </r>
  <r>
    <x v="859"/>
    <x v="14"/>
    <s v="CASH - GENERIC"/>
    <s v="F:RMS(WC02005)~U$"/>
    <s v="FR0000052292"/>
    <s v="U$"/>
    <n v="4888907"/>
    <n v="5756723"/>
    <n v="7921429"/>
    <n v="9413316"/>
    <n v="11543843"/>
    <x v="18"/>
  </r>
  <r>
    <x v="860"/>
    <x v="14"/>
    <s v="CASH &amp; SHORT TERM INVESTMENTS"/>
    <s v="F:RMS(WC02001)~U$"/>
    <s v="FR0000052292"/>
    <s v="U$"/>
    <n v="4888907"/>
    <n v="5756723"/>
    <n v="7921429"/>
    <n v="9413316"/>
    <n v="11543843"/>
    <x v="18"/>
  </r>
  <r>
    <x v="861"/>
    <x v="14"/>
    <s v="CASH DIVIDENDS PAID - TOTAL"/>
    <s v="F:RMS(WC04551)~U$"/>
    <s v="FR0000052292"/>
    <s v="U$"/>
    <n v="538137"/>
    <n v="575305"/>
    <n v="569254"/>
    <n v="847549"/>
    <n v="1479679"/>
    <x v="18"/>
  </r>
  <r>
    <x v="862"/>
    <x v="14"/>
    <s v="CASH FLOW PER SHARE"/>
    <s v="F:RMS(WC05501)~U$"/>
    <s v="FR0000052292"/>
    <s v="U$"/>
    <n v="22.291"/>
    <n v="22.872"/>
    <n v="34.856999999999999"/>
    <n v="40.085999999999999"/>
    <n v="53.408999999999999"/>
    <x v="18"/>
  </r>
  <r>
    <x v="863"/>
    <x v="14"/>
    <s v="CASH FLOW PER SHARE - FIS YR"/>
    <s v="F:RMS(WC05502)~U$"/>
    <s v="FR0000052292"/>
    <s v="U$"/>
    <n v="22.291"/>
    <n v="22.872"/>
    <n v="34.856999999999999"/>
    <n v="40.085999999999999"/>
    <n v="53.408999999999999"/>
    <x v="18"/>
  </r>
  <r>
    <x v="864"/>
    <x v="14"/>
    <s v="COMMON DIVIDENDS (CASH)"/>
    <s v="F:RMS(WC05376)~U$"/>
    <s v="FR0000052292"/>
    <s v="U$"/>
    <n v="538137"/>
    <n v="575305"/>
    <n v="569254"/>
    <n v="847549"/>
    <n v="1479679"/>
    <x v="18"/>
  </r>
  <r>
    <x v="865"/>
    <x v="14"/>
    <s v="COMMON SHAREHOLDERS' EQUITY"/>
    <s v="F:RMS(WC03501)~U$"/>
    <s v="FR0000052292"/>
    <s v="U$"/>
    <n v="7263744"/>
    <n v="8752434"/>
    <n v="11032957"/>
    <n v="12478536"/>
    <n v="16228425"/>
    <x v="18"/>
  </r>
  <r>
    <x v="866"/>
    <x v="14"/>
    <s v="COMMON STOCK"/>
    <s v="F:RMS(WC03480)~U$"/>
    <s v="FR0000052292"/>
    <s v="U$"/>
    <n v="59498"/>
    <n v="63804"/>
    <n v="63381"/>
    <n v="54163"/>
    <n v="57650"/>
    <x v="18"/>
  </r>
  <r>
    <x v="867"/>
    <x v="14"/>
    <s v="COST OF GOODS SOLD (EXCL DEP)"/>
    <s v="F:RMS(WC01051)~U$"/>
    <s v="FR0000052292"/>
    <s v="U$"/>
    <n v="2307155"/>
    <n v="2335137"/>
    <n v="2970682"/>
    <n v="3343056"/>
    <n v="3902039"/>
    <x v="18"/>
  </r>
  <r>
    <x v="868"/>
    <x v="14"/>
    <s v="CURRENT ASSETS - TOTAL"/>
    <s v="F:RMS(WC02201)~U$"/>
    <s v="FR0000052292"/>
    <s v="U$"/>
    <n v="6735560"/>
    <n v="7886216"/>
    <n v="10381543"/>
    <n v="11863686"/>
    <n v="14954791"/>
    <x v="18"/>
  </r>
  <r>
    <x v="869"/>
    <x v="14"/>
    <s v="CURRENT LIABILITIES-TOTAL"/>
    <s v="F:RMS(WC03101)~U$"/>
    <s v="FR0000052292"/>
    <s v="U$"/>
    <n v="2237925"/>
    <n v="2180489"/>
    <n v="3022326"/>
    <n v="3013063"/>
    <n v="3398137"/>
    <x v="18"/>
  </r>
  <r>
    <x v="870"/>
    <x v="14"/>
    <s v="DEFERRED TAXES"/>
    <s v="F:RMS(WC03263)~U$"/>
    <s v="FR0000052292"/>
    <s v="U$"/>
    <n v="-537695"/>
    <n v="-537591"/>
    <n v="-623245"/>
    <n v="-536614"/>
    <n v="-671514"/>
    <x v="18"/>
  </r>
  <r>
    <x v="871"/>
    <x v="14"/>
    <s v="DEPRECIATION AND DEPLETION"/>
    <s v="F:RMS(WC04049)~U$"/>
    <s v="FR0000052292"/>
    <s v="U$"/>
    <n v="495117"/>
    <n v="609816"/>
    <n v="660804"/>
    <n v="525581"/>
    <n v="824179"/>
    <x v="18"/>
  </r>
  <r>
    <x v="872"/>
    <x v="14"/>
    <s v="DEPRECIATION/DEPLETION/AMORT"/>
    <s v="F:RMS(WC01151)~U$"/>
    <s v="FR0000052292"/>
    <s v="U$"/>
    <n v="492795"/>
    <n v="607207"/>
    <n v="658456"/>
    <n v="608831"/>
    <n v="714217"/>
    <x v="18"/>
  </r>
  <r>
    <x v="873"/>
    <x v="14"/>
    <s v="DIVIDENDS PER SHARE"/>
    <s v="F:RMS(WC05101)~U$"/>
    <s v="FR0000052292"/>
    <s v="U$"/>
    <n v="5.032"/>
    <n v="5.3959999999999999"/>
    <n v="9.39"/>
    <n v="13.039"/>
    <n v="26.69"/>
    <x v="18"/>
  </r>
  <r>
    <x v="874"/>
    <x v="14"/>
    <s v="DIVIDENDS PER SHARE - FISCAL"/>
    <s v="F:RMS(WC05110)~U$"/>
    <s v="FR0000052292"/>
    <s v="U$"/>
    <n v="5.032"/>
    <n v="5.3959999999999999"/>
    <n v="9.39"/>
    <n v="13.039"/>
    <n v="26.69"/>
    <x v="18"/>
  </r>
  <r>
    <x v="875"/>
    <x v="14"/>
    <s v="EARNINGS BEF INTEREST &amp; TAXES"/>
    <s v="F:RMS(WC18191)~U$"/>
    <s v="FR0000052292"/>
    <s v="U$"/>
    <n v="2538622"/>
    <n v="2391232"/>
    <n v="4069283"/>
    <n v="4695123"/>
    <n v="6295574"/>
    <x v="18"/>
  </r>
  <r>
    <x v="876"/>
    <x v="14"/>
    <s v="EBIT &amp; DEPRECIATION"/>
    <s v="F:RMS(WC18198)~U$"/>
    <s v="FR0000052292"/>
    <s v="U$"/>
    <n v="3031417"/>
    <n v="2998439"/>
    <n v="4727740"/>
    <n v="5303955"/>
    <n v="7009791"/>
    <x v="18"/>
  </r>
  <r>
    <x v="877"/>
    <x v="14"/>
    <s v="EARNINGS PER SHARE"/>
    <s v="F:RMS(WC05201)~U$"/>
    <s v="FR0000052292"/>
    <s v="U$"/>
    <n v="16.213999999999999"/>
    <n v="15.733000000000001"/>
    <n v="27.428999999999998"/>
    <n v="32.296999999999997"/>
    <n v="43.973999999999997"/>
    <x v="18"/>
  </r>
  <r>
    <x v="878"/>
    <x v="14"/>
    <s v="FISCAL EPS-FULLY DILUTED-YR"/>
    <s v="F:RMS(WC10030)~U$"/>
    <s v="FR0000052292"/>
    <s v="U$"/>
    <n v="16.087"/>
    <n v="15.664"/>
    <n v="27.34"/>
    <n v="32.183"/>
    <n v="43.899000000000001"/>
    <x v="18"/>
  </r>
  <r>
    <x v="879"/>
    <x v="14"/>
    <s v="ENTERPRISE VALUE"/>
    <s v="F:RMS(WC18100)~U$"/>
    <s v="FR0000052292"/>
    <s v="U$"/>
    <n v="73158351"/>
    <n v="105371158"/>
    <n v="182862623"/>
    <n v="145393408"/>
    <n v="204660686"/>
    <x v="18"/>
  </r>
  <r>
    <x v="880"/>
    <x v="14"/>
    <s v="GROSS INCOME"/>
    <s v="F:RMS(WC01100)~U$"/>
    <s v="FR0000052292"/>
    <s v="U$"/>
    <n v="4812489"/>
    <n v="4635170"/>
    <n v="6913204"/>
    <n v="7685117"/>
    <n v="9718265"/>
    <x v="18"/>
  </r>
  <r>
    <x v="881"/>
    <x v="14"/>
    <s v="IMPAIRMENT- OTHER INTANGIBLES"/>
    <s v="F:RMS(WC18226)~U$"/>
    <s v="FR0000052292"/>
    <s v="U$"/>
    <n v="7299"/>
    <n v="2490"/>
    <n v="3521"/>
    <n v="4012"/>
    <s v="NA"/>
    <x v="18"/>
  </r>
  <r>
    <x v="882"/>
    <x v="14"/>
    <s v="INCOME TAXES"/>
    <s v="F:RMS(WC01451)~U$"/>
    <s v="FR0000052292"/>
    <s v="U$"/>
    <n v="830540"/>
    <n v="726988"/>
    <n v="1191325"/>
    <n v="1308937"/>
    <n v="1732697"/>
    <x v="18"/>
  </r>
  <r>
    <x v="883"/>
    <x v="14"/>
    <s v="INCREASE/DECREASE IN CASH/SHOR"/>
    <s v="F:RMS(WC04851)~U$"/>
    <s v="FR0000052292"/>
    <s v="U$"/>
    <n v="1002510"/>
    <n v="409509"/>
    <n v="2321616"/>
    <n v="2535627"/>
    <n v="1496760"/>
    <x v="18"/>
  </r>
  <r>
    <x v="884"/>
    <x v="14"/>
    <s v="INTEREST EXPENSE ON DEBT"/>
    <s v="F:RMS(WC01251)~U$"/>
    <s v="FR0000052292"/>
    <s v="U$"/>
    <n v="27869"/>
    <n v="35460"/>
    <n v="37559"/>
    <n v="46139"/>
    <n v="60853"/>
    <x v="18"/>
  </r>
  <r>
    <x v="885"/>
    <x v="14"/>
    <s v="TOTAL INVENTORIES"/>
    <s v="F:RMS(WC02101)~U$"/>
    <s v="FR0000052292"/>
    <s v="U$"/>
    <n v="1252556"/>
    <n v="1529165"/>
    <n v="1700719"/>
    <n v="1784367"/>
    <n v="2577161"/>
    <x v="18"/>
  </r>
  <r>
    <x v="886"/>
    <x v="14"/>
    <s v="LONG TERM DEBT"/>
    <s v="F:RMS(WC03251)~U$"/>
    <s v="FR0000052292"/>
    <s v="U$"/>
    <n v="1023633"/>
    <n v="1738485"/>
    <n v="1822785"/>
    <n v="1669020"/>
    <n v="1889633"/>
    <x v="18"/>
  </r>
  <r>
    <x v="887"/>
    <x v="14"/>
    <s v="MARKET CAPITALIZATION"/>
    <s v="F:RMS(WC08001)~U$"/>
    <s v="FR0000052292"/>
    <s v="U$"/>
    <n v="76776012"/>
    <n v="109117498"/>
    <n v="188656036"/>
    <n v="152850840"/>
    <n v="214003159"/>
    <x v="18"/>
  </r>
  <r>
    <x v="888"/>
    <x v="14"/>
    <s v="NET CASH FLOW - FINANCING"/>
    <s v="F:RMS(WC04890)~U$"/>
    <s v="FR0000052292"/>
    <s v="U$"/>
    <n v="-821472"/>
    <n v="-960857"/>
    <n v="-1019962"/>
    <n v="-1240732"/>
    <n v="-1915255"/>
    <x v="18"/>
  </r>
  <r>
    <x v="889"/>
    <x v="14"/>
    <s v="NET CASH FLOW - INVESTING"/>
    <s v="F:RMS(WC04870)~U$"/>
    <s v="FR0000052292"/>
    <s v="U$"/>
    <n v="562467"/>
    <n v="537947"/>
    <n v="840383"/>
    <n v="647949"/>
    <n v="1181821"/>
    <x v="18"/>
  </r>
  <r>
    <x v="890"/>
    <x v="14"/>
    <s v="NET CASH FLOW-OPERATING ACTIVS"/>
    <s v="F:RMS(WC04860)~U$"/>
    <s v="FR0000052292"/>
    <s v="U$"/>
    <n v="2349843"/>
    <n v="1973066"/>
    <n v="4052851"/>
    <n v="4264829"/>
    <n v="4741164"/>
    <x v="18"/>
  </r>
  <r>
    <x v="891"/>
    <x v="14"/>
    <s v="NET DEBT"/>
    <s v="F:RMS(WC18199)~U$"/>
    <s v="FR0000052292"/>
    <s v="U$"/>
    <n v="-3626287"/>
    <n v="-3757210"/>
    <n v="-5806387"/>
    <n v="-7473481"/>
    <n v="-9344609"/>
    <x v="18"/>
  </r>
  <r>
    <x v="892"/>
    <x v="14"/>
    <s v="NET INCOME - DILUTED"/>
    <s v="F:RMS(WC01705)~U$"/>
    <s v="FR0000052292"/>
    <s v="U$"/>
    <n v="1690055"/>
    <n v="1643016"/>
    <n v="2869743"/>
    <n v="3377159"/>
    <n v="4602377"/>
    <x v="18"/>
  </r>
  <r>
    <x v="893"/>
    <x v="14"/>
    <s v="NET SALES OR REVENUES"/>
    <s v="F:RMS(WC01001)~U$"/>
    <s v="FR0000052292"/>
    <s v="U$"/>
    <n v="7612438"/>
    <n v="7577513"/>
    <n v="10542343"/>
    <n v="11637005"/>
    <n v="14334521"/>
    <x v="18"/>
  </r>
  <r>
    <x v="894"/>
    <x v="14"/>
    <s v="NON-OPERATING INTEREST INCOME"/>
    <s v="F:RMS(WC01266)~U$"/>
    <s v="FR0000052292"/>
    <s v="U$"/>
    <n v="21012"/>
    <n v="12571"/>
    <n v="14085"/>
    <n v="67202"/>
    <n v="354440"/>
    <x v="18"/>
  </r>
  <r>
    <x v="895"/>
    <x v="14"/>
    <s v="OPERATING EXPENSES - TOTAL"/>
    <s v="F:RMS(WC01249)~U$"/>
    <s v="FR0000052292"/>
    <s v="U$"/>
    <n v="5020953"/>
    <n v="5225654"/>
    <n v="6355688"/>
    <n v="6851610"/>
    <n v="8200153"/>
    <x v="18"/>
  </r>
  <r>
    <x v="896"/>
    <x v="14"/>
    <s v="OPERATING INCOME"/>
    <s v="F:RMS(WC01250)~U$"/>
    <s v="FR0000052292"/>
    <s v="U$"/>
    <n v="2591485"/>
    <n v="2351859"/>
    <n v="4186655"/>
    <n v="4785395"/>
    <n v="6134368"/>
    <x v="18"/>
  </r>
  <r>
    <x v="897"/>
    <x v="14"/>
    <s v="PRETAX INCOME"/>
    <s v="F:RMS(WC01401)~U$"/>
    <s v="FR0000052292"/>
    <s v="U$"/>
    <n v="2510753"/>
    <n v="2355772"/>
    <n v="4031724"/>
    <n v="4648984"/>
    <n v="6234721"/>
    <x v="18"/>
  </r>
  <r>
    <x v="898"/>
    <x v="14"/>
    <s v="PROPERTY, PLANT &amp; EQUIP - NET"/>
    <s v="F:RMS(WC02501)~U$"/>
    <s v="FR0000052292"/>
    <s v="U$"/>
    <n v="2760468"/>
    <n v="3667197"/>
    <n v="3988297"/>
    <n v="3599828"/>
    <n v="4330142"/>
    <x v="18"/>
  </r>
  <r>
    <x v="899"/>
    <x v="14"/>
    <s v="RECEIVABLES(NET)"/>
    <s v="F:RMS(WC02051)~U$"/>
    <s v="FR0000052292"/>
    <s v="U$"/>
    <n v="594096"/>
    <n v="600447"/>
    <n v="760570"/>
    <n v="667006"/>
    <n v="834855"/>
    <x v="18"/>
  </r>
  <r>
    <x v="900"/>
    <x v="14"/>
    <s v="SELLING, GENERAL &amp; ADMINISTRAT"/>
    <s v="F:RMS(WC01101)~U$"/>
    <s v="FR0000052292"/>
    <s v="U$"/>
    <n v="2174998"/>
    <n v="2174915"/>
    <n v="2672558"/>
    <n v="2769330"/>
    <n v="3562545"/>
    <x v="18"/>
  </r>
  <r>
    <x v="901"/>
    <x v="14"/>
    <s v="SHORT TERM DEBT &amp; CURRENT PORT"/>
    <s v="F:RMS(WC03051)~U$"/>
    <s v="FR0000052292"/>
    <s v="U$"/>
    <n v="238988"/>
    <n v="261028"/>
    <n v="292256"/>
    <n v="270815"/>
    <n v="309601"/>
    <x v="18"/>
  </r>
  <r>
    <x v="902"/>
    <x v="14"/>
    <s v="TOTAL ASSETS"/>
    <s v="F:RMS(WC02999)~U$"/>
    <s v="FR0000052292"/>
    <s v="U$"/>
    <n v="10362732"/>
    <n v="12541784"/>
    <n v="15611635"/>
    <n v="16955001"/>
    <n v="21155349"/>
    <x v="18"/>
  </r>
  <r>
    <x v="903"/>
    <x v="14"/>
    <s v="TOTAL CAPITAL"/>
    <s v="F:RMS(WC03998)~U$"/>
    <s v="FR0000052292"/>
    <s v="U$"/>
    <n v="8296003"/>
    <n v="10503846"/>
    <n v="12869827"/>
    <n v="14163605"/>
    <n v="18120193"/>
    <x v="18"/>
  </r>
  <r>
    <x v="904"/>
    <x v="14"/>
    <s v="TOTAL DEBT"/>
    <s v="F:RMS(WC03255)~U$"/>
    <s v="FR0000052292"/>
    <s v="U$"/>
    <n v="1262620"/>
    <n v="1999513"/>
    <n v="2115041"/>
    <n v="1939835"/>
    <n v="2199234"/>
    <x v="18"/>
  </r>
  <r>
    <x v="905"/>
    <x v="14"/>
    <s v="TOTAL INTANGIBLE OT ASSETS-NET"/>
    <s v="F:RMS(WC02649)~U$"/>
    <s v="FR0000052292"/>
    <s v="U$"/>
    <n v="221514"/>
    <n v="312735"/>
    <n v="352116"/>
    <n v="213643"/>
    <n v="317074"/>
    <x v="18"/>
  </r>
  <r>
    <x v="906"/>
    <x v="14"/>
    <s v="TOTAL LIABILITIES"/>
    <s v="F:RMS(WC03351)~U$"/>
    <s v="FR0000052292"/>
    <s v="U$"/>
    <n v="3090362"/>
    <n v="3776423"/>
    <n v="4564593"/>
    <n v="4460417"/>
    <n v="4924789"/>
    <x v="18"/>
  </r>
  <r>
    <x v="907"/>
    <x v="14"/>
    <s v="TOTAL LIABILITIES &amp; SHAREHOLDE"/>
    <s v="F:RMS(WC03999)~U$"/>
    <s v="FR0000052292"/>
    <s v="U$"/>
    <n v="10362732"/>
    <n v="12541784"/>
    <n v="15611635"/>
    <n v="16955001"/>
    <n v="21155349"/>
    <x v="18"/>
  </r>
  <r>
    <x v="908"/>
    <x v="14"/>
    <s v="TOTAL SHAREHOLDERS EQUITY"/>
    <s v="F:RMS(WC03995)~U$"/>
    <s v="FR0000052292"/>
    <s v="U$"/>
    <n v="7263744"/>
    <n v="8752434"/>
    <n v="11032957"/>
    <n v="12478536"/>
    <n v="16228425"/>
    <x v="18"/>
  </r>
  <r>
    <x v="909"/>
    <x v="14"/>
    <s v="WORKING CAPITAL"/>
    <s v="F:RMS(WC03151)~U$"/>
    <s v="FR0000052292"/>
    <s v="U$"/>
    <n v="4497636"/>
    <n v="5705727"/>
    <n v="7359217"/>
    <n v="8850623"/>
    <n v="11556654"/>
    <x v="18"/>
  </r>
  <r>
    <x v="910"/>
    <x v="14"/>
    <s v="BK VAL PS 12M FWD"/>
    <s v="F:RMS(DIBV)~U$"/>
    <s v="FR0000052292"/>
    <s v="U$"/>
    <n v="77.95"/>
    <n v="92.35"/>
    <n v="115.93"/>
    <n v="126.25"/>
    <n v="175.31"/>
    <x v="389"/>
  </r>
  <r>
    <x v="911"/>
    <x v="14"/>
    <s v="EV 12M FWD"/>
    <s v="F:RMS(DIEV)~U$"/>
    <s v="FR0000052292"/>
    <s v="U$"/>
    <n v="67586400.239999995"/>
    <n v="86026185.129999995"/>
    <n v="148055901.5"/>
    <n v="128098509.7"/>
    <n v="200089582.09999999"/>
    <x v="390"/>
  </r>
  <r>
    <x v="912"/>
    <x v="14"/>
    <s v="NET INCOME 12M FWD"/>
    <s v="F:RMS(DINI)~U$"/>
    <s v="FR0000052292"/>
    <s v="U$"/>
    <n v="1778277.44"/>
    <n v="1738965.38"/>
    <n v="2812165.83"/>
    <n v="3217676.91"/>
    <n v="4734737.12"/>
    <x v="391"/>
  </r>
  <r>
    <x v="913"/>
    <x v="14"/>
    <s v="PRETAX PRF 12M FWD"/>
    <s v="F:RMS(DINP)~U$"/>
    <s v="FR0000052292"/>
    <s v="U$"/>
    <n v="2629066.98"/>
    <n v="2566406.71"/>
    <n v="3953924.32"/>
    <n v="4558478.09"/>
    <n v="6567205.0199999996"/>
    <x v="392"/>
  </r>
  <r>
    <x v="914"/>
    <x v="14"/>
    <s v="ROE 12M FWD"/>
    <s v="F:RMS(DIRE)~U$"/>
    <s v="FR0000052292"/>
    <s v="U$"/>
    <n v="26.45"/>
    <n v="23.01"/>
    <n v="29.13"/>
    <n v="26.37"/>
    <n v="29.67"/>
    <x v="393"/>
  </r>
  <r>
    <x v="915"/>
    <x v="14"/>
    <s v="SALES 12M FWD"/>
    <s v="F:RMS(DISL)~U$"/>
    <s v="FR0000052292"/>
    <s v="U$"/>
    <n v="7816611.6600000001"/>
    <n v="8178857.71"/>
    <n v="11078525.73"/>
    <n v="11804625.810000001"/>
    <n v="15729914.960000001"/>
    <x v="394"/>
  </r>
  <r>
    <x v="916"/>
    <x v="14"/>
    <s v="DECREASE/INCREASE RECEIVABLES"/>
    <s v="F:RMS(WC04825)~U$"/>
    <s v="FR0000052292"/>
    <s v="U$"/>
    <n v="-15372"/>
    <n v="45541"/>
    <n v="-35212"/>
    <n v="-54163"/>
    <n v="-130246"/>
    <x v="18"/>
  </r>
  <r>
    <x v="917"/>
    <x v="14"/>
    <s v="DECREASE/INCR OTH ASTS/LIABILT"/>
    <s v="F:RMS(WC04830)~U$"/>
    <s v="FR0000052292"/>
    <s v="U$"/>
    <n v="236112"/>
    <n v="-245610"/>
    <n v="494136"/>
    <n v="248748"/>
    <n v="-56582"/>
    <x v="18"/>
  </r>
  <r>
    <x v="918"/>
    <x v="14"/>
    <s v="DECREASE/INCREASE INVENTORIES"/>
    <s v="F:RMS(WC04826)~U$"/>
    <s v="FR0000052292"/>
    <s v="U$"/>
    <n v="-176504"/>
    <n v="-187262"/>
    <n v="-136151"/>
    <n v="-324978"/>
    <n v="-706744"/>
    <x v="18"/>
  </r>
  <r>
    <x v="919"/>
    <x v="14"/>
    <s v="DECREASE IN INVESTMENTS"/>
    <s v="F:RMS(WC04440)~U$"/>
    <s v="FR0000052292"/>
    <s v="U$"/>
    <n v="38707"/>
    <n v="108396"/>
    <n v="7042"/>
    <n v="5015"/>
    <n v="0"/>
    <x v="18"/>
  </r>
  <r>
    <x v="920"/>
    <x v="15"/>
    <s v="MARKET VALUE"/>
    <s v="F:CDI(MV)~U$"/>
    <s v="FR0000130403"/>
    <s v="U$"/>
    <n v="86238.43"/>
    <n v="81262.3"/>
    <n v="134958.38"/>
    <n v="111075.75"/>
    <n v="136244.81"/>
    <x v="395"/>
  </r>
  <r>
    <x v="921"/>
    <x v="15"/>
    <s v="PER"/>
    <s v="F:CDI(PE)"/>
    <s v="FR0000130403"/>
    <s v="E"/>
    <n v="29"/>
    <n v="37.6"/>
    <n v="29.5"/>
    <n v="20.3"/>
    <n v="19.2"/>
    <x v="396"/>
  </r>
  <r>
    <x v="922"/>
    <x v="15"/>
    <s v="12MTH FORWARD EPS"/>
    <s v="F:CDI(EPS1FD12)~U$"/>
    <s v="FR0000130403"/>
    <s v="U$"/>
    <n v="19.648"/>
    <n v="16.523"/>
    <s v="NA"/>
    <s v="NA"/>
    <s v="NA"/>
    <x v="18"/>
  </r>
  <r>
    <x v="923"/>
    <x v="15"/>
    <e v="#VALUE!"/>
    <s v="529E(F:CDI)"/>
    <s v="FR0000130403"/>
    <s v="E"/>
    <n v="3.9750000000000001"/>
    <n v="3.6859999999999999"/>
    <s v="NA"/>
    <s v="NA"/>
    <s v="NA"/>
    <x v="18"/>
  </r>
  <r>
    <x v="923"/>
    <x v="15"/>
    <e v="#VALUE!"/>
    <s v="384E(F:CDI)"/>
    <s v="FR0000130403"/>
    <s v="NA"/>
    <n v="10.944000000000001"/>
    <n v="12.237"/>
    <s v="NA"/>
    <s v="NA"/>
    <s v="NA"/>
    <x v="18"/>
  </r>
  <r>
    <x v="923"/>
    <x v="15"/>
    <e v="#VALUE!"/>
    <s v="380E(F:CDI)"/>
    <s v="FR0000130403"/>
    <s v="NA"/>
    <n v="9.0749999999999993"/>
    <n v="10.156000000000001"/>
    <s v="NA"/>
    <s v="NA"/>
    <s v="NA"/>
    <x v="18"/>
  </r>
  <r>
    <x v="923"/>
    <x v="15"/>
    <e v="#VALUE!"/>
    <s v="388E(F:CDI)"/>
    <s v="FR0000130403"/>
    <s v="NA"/>
    <n v="2.355"/>
    <n v="2.2839999999999998"/>
    <s v="NA"/>
    <s v="NA"/>
    <s v="NA"/>
    <x v="18"/>
  </r>
  <r>
    <x v="923"/>
    <x v="15"/>
    <e v="#VALUE!"/>
    <s v="334E(F:CDI)"/>
    <s v="FR0000130403"/>
    <s v="E"/>
    <n v="-8.6999999999999994E-2"/>
    <n v="0.57099999999999995"/>
    <s v="NA"/>
    <s v="NA"/>
    <s v="NA"/>
    <x v="18"/>
  </r>
  <r>
    <x v="923"/>
    <x v="15"/>
    <e v="#VALUE!"/>
    <s v="338E(F:CDI)"/>
    <s v="FR0000130403"/>
    <s v="E"/>
    <n v="-1.2E-2"/>
    <s v="NA"/>
    <s v="NA"/>
    <s v="NA"/>
    <s v="NA"/>
    <x v="18"/>
  </r>
  <r>
    <x v="923"/>
    <x v="15"/>
    <e v="#VALUE!"/>
    <s v="251E(F:CDI)"/>
    <s v="FR0000130403"/>
    <s v="E"/>
    <n v="1.7"/>
    <n v="1.39"/>
    <n v="1.53"/>
    <s v="NA"/>
    <s v="NA"/>
    <x v="18"/>
  </r>
  <r>
    <x v="923"/>
    <x v="15"/>
    <e v="#VALUE!"/>
    <s v="250E(F:CDI)"/>
    <s v="FR0000130403"/>
    <s v="E"/>
    <n v="1.01"/>
    <n v="0.79"/>
    <n v="0.84"/>
    <s v="NA"/>
    <s v="NA"/>
    <x v="18"/>
  </r>
  <r>
    <x v="923"/>
    <x v="15"/>
    <e v="#VALUE!"/>
    <s v="553E(F:CDI)"/>
    <s v="FR0000130403"/>
    <s v="E"/>
    <n v="4.6433"/>
    <n v="5.3337000000000003"/>
    <s v="NA"/>
    <s v="NA"/>
    <s v="NA"/>
    <x v="18"/>
  </r>
  <r>
    <x v="924"/>
    <x v="15"/>
    <s v="12MTH TRAILING EPS"/>
    <s v="F:CDI(EPS1TR12)~U$"/>
    <s v="FR0000130403"/>
    <s v="U$"/>
    <n v="17.550999999999998"/>
    <n v="12.9"/>
    <s v="NA"/>
    <s v="NA"/>
    <s v="NA"/>
    <x v="18"/>
  </r>
  <r>
    <x v="925"/>
    <x v="15"/>
    <s v="DIV.PER SHR."/>
    <s v="F:CDI(DPS)~U$"/>
    <s v="FR0000130403"/>
    <s v="U$"/>
    <n v="6.86"/>
    <n v="5.69"/>
    <n v="8.2200000000000006"/>
    <n v="12.04"/>
    <n v="13.34"/>
    <x v="360"/>
  </r>
  <r>
    <x v="923"/>
    <x v="15"/>
    <e v="#VALUE!"/>
    <s v="354E(F:CDI)"/>
    <s v="FR0000130403"/>
    <s v="E"/>
    <n v="1.681"/>
    <n v="1.6080000000000001"/>
    <s v="NA"/>
    <s v="NA"/>
    <s v="NA"/>
    <x v="18"/>
  </r>
  <r>
    <x v="922"/>
    <x v="15"/>
    <s v="12MTH FORWARD EPS"/>
    <s v="F:CDI(EPS1FD12)~U$"/>
    <s v="FR0000130403"/>
    <s v="U$"/>
    <n v="19.648"/>
    <n v="16.523"/>
    <s v="NA"/>
    <s v="NA"/>
    <s v="NA"/>
    <x v="18"/>
  </r>
  <r>
    <x v="921"/>
    <x v="15"/>
    <s v="PER"/>
    <s v="F:CDI(PE)"/>
    <s v="FR0000130403"/>
    <s v="E"/>
    <n v="29"/>
    <n v="37.6"/>
    <n v="29.5"/>
    <n v="20.3"/>
    <n v="19.2"/>
    <x v="396"/>
  </r>
  <r>
    <x v="920"/>
    <x v="15"/>
    <s v="MARKET VALUE"/>
    <s v="F:CDI(MV)~U$"/>
    <s v="FR0000130403"/>
    <s v="U$"/>
    <n v="86238.43"/>
    <n v="81262.3"/>
    <n v="134958.38"/>
    <n v="111075.75"/>
    <n v="136244.81"/>
    <x v="395"/>
  </r>
  <r>
    <x v="926"/>
    <x v="15"/>
    <s v="EARNINGS PER SHR"/>
    <s v="F:CDI(EPS)~U$"/>
    <s v="FR0000130403"/>
    <s v="U$"/>
    <n v="16.48"/>
    <n v="11.99"/>
    <n v="25.34"/>
    <n v="30.36"/>
    <n v="39.24"/>
    <x v="397"/>
  </r>
  <r>
    <x v="923"/>
    <x v="15"/>
    <e v="#VALUE!"/>
    <s v="897E(F:CDI)"/>
    <s v="FR0000130403"/>
    <s v="NA"/>
    <n v="1.0902000000000001"/>
    <n v="1.1850000000000001"/>
    <n v="1.1619999999999999"/>
    <n v="1.1672"/>
    <n v="1.179"/>
    <x v="398"/>
  </r>
  <r>
    <x v="923"/>
    <x v="15"/>
    <e v="#VALUE!"/>
    <s v="400E(F:CDI)"/>
    <s v="FR0000130403"/>
    <s v="NA"/>
    <n v="0.21579999999999999"/>
    <n v="0.35270000000000001"/>
    <n v="0.3468"/>
    <n v="0.35620000000000002"/>
    <n v="0.3634"/>
    <x v="399"/>
  </r>
  <r>
    <x v="927"/>
    <x v="15"/>
    <s v="ACCOUNTS PAYABLE"/>
    <s v="F:CDI(WC03040)~U$"/>
    <s v="FR0000130403"/>
    <s v="U$"/>
    <n v="6429775"/>
    <n v="6045976"/>
    <n v="8316972"/>
    <n v="8814514"/>
    <n v="9660615"/>
    <x v="18"/>
  </r>
  <r>
    <x v="928"/>
    <x v="15"/>
    <s v="AMORTIZATION OF DEFERRED CHARG"/>
    <s v="F:CDI(WC01150)~U$"/>
    <s v="FR0000130403"/>
    <s v="U$"/>
    <n v="0"/>
    <n v="0"/>
    <n v="0"/>
    <n v="0"/>
    <n v="0"/>
    <x v="18"/>
  </r>
  <r>
    <x v="929"/>
    <x v="15"/>
    <s v="AMORTIZATION OF INTANGIBLES"/>
    <s v="F:CDI(WC01149)~U$"/>
    <s v="FR0000130403"/>
    <s v="U$"/>
    <n v="466695"/>
    <n v="636856"/>
    <n v="619724"/>
    <n v="604819"/>
    <n v="767597"/>
    <x v="18"/>
  </r>
  <r>
    <x v="930"/>
    <x v="15"/>
    <s v="BOOK VALUE-OUT SHARES-FISCAL"/>
    <s v="F:CDI(WC05491)~U$"/>
    <s v="FR0000130403"/>
    <s v="U$"/>
    <n v="66.694000000000003"/>
    <n v="74.084999999999994"/>
    <n v="100.00700000000001"/>
    <n v="105.84399999999999"/>
    <n v="127.387"/>
    <x v="18"/>
  </r>
  <r>
    <x v="931"/>
    <x v="15"/>
    <s v="BOOK VALUE PER SHARE"/>
    <s v="F:CDI(WC05476)~U$"/>
    <s v="FR0000130403"/>
    <s v="U$"/>
    <n v="66.694000000000003"/>
    <n v="74.084999999999994"/>
    <n v="100.00700000000001"/>
    <n v="105.84399999999999"/>
    <n v="127.387"/>
    <x v="18"/>
  </r>
  <r>
    <x v="932"/>
    <x v="15"/>
    <s v="CAPITAL EXPENDITURES"/>
    <s v="F:CDI(WC04601)~U$"/>
    <s v="FR0000130403"/>
    <s v="U$"/>
    <n v="3162910"/>
    <n v="2352926"/>
    <n v="3139698"/>
    <n v="4411269"/>
    <n v="7267080"/>
    <x v="18"/>
  </r>
  <r>
    <x v="933"/>
    <x v="15"/>
    <s v="CASH"/>
    <s v="F:CDI(WC02003)~U$"/>
    <s v="FR0000130403"/>
    <s v="U$"/>
    <n v="6704042"/>
    <n v="24143583"/>
    <n v="9532945"/>
    <n v="7610894"/>
    <n v="8456375"/>
    <x v="18"/>
  </r>
  <r>
    <x v="934"/>
    <x v="15"/>
    <s v="CASH - GENERIC"/>
    <s v="F:CDI(WC02005)~U$"/>
    <s v="FR0000130403"/>
    <s v="U$"/>
    <n v="7713740"/>
    <n v="26183419"/>
    <n v="12821705"/>
    <n v="11699192"/>
    <n v="12833491"/>
    <x v="18"/>
  </r>
  <r>
    <x v="935"/>
    <x v="15"/>
    <s v="CASH &amp; SHORT TERM INVESTMENTS"/>
    <s v="F:CDI(WC02001)~U$"/>
    <s v="FR0000130403"/>
    <s v="U$"/>
    <n v="7713740"/>
    <n v="26183419"/>
    <n v="12821705"/>
    <n v="11699192"/>
    <n v="12833491"/>
    <x v="18"/>
  </r>
  <r>
    <x v="936"/>
    <x v="15"/>
    <s v="CASH DIVIDENDS PAID - TOTAL"/>
    <s v="F:CDI(WC04551)~U$"/>
    <s v="FR0000130403"/>
    <s v="U$"/>
    <n v="7062357"/>
    <n v="984339"/>
    <n v="1482407"/>
    <n v="2171532"/>
    <n v="2407414"/>
    <x v="18"/>
  </r>
  <r>
    <x v="937"/>
    <x v="15"/>
    <s v="CASH FLOW PER SHARE"/>
    <s v="F:CDI(WC05501)~U$"/>
    <s v="FR0000130403"/>
    <s v="U$"/>
    <n v="79"/>
    <n v="73.98"/>
    <n v="118.54300000000001"/>
    <n v="115.941"/>
    <n v="135.96199999999999"/>
    <x v="18"/>
  </r>
  <r>
    <x v="938"/>
    <x v="15"/>
    <s v="CASH FLOW PER SHARE - FIS YR"/>
    <s v="F:CDI(WC05502)~U$"/>
    <s v="FR0000130403"/>
    <s v="U$"/>
    <n v="79"/>
    <n v="73.98"/>
    <n v="118.54300000000001"/>
    <n v="115.941"/>
    <n v="135.96199999999999"/>
    <x v="18"/>
  </r>
  <r>
    <x v="939"/>
    <x v="15"/>
    <s v="COMMON DIVIDENDS (CASH)"/>
    <s v="F:CDI(WC05376)~U$"/>
    <s v="FR0000130403"/>
    <s v="U$"/>
    <n v="7062357"/>
    <n v="984339"/>
    <n v="1482407"/>
    <n v="2171532"/>
    <n v="2407414"/>
    <x v="18"/>
  </r>
  <r>
    <x v="940"/>
    <x v="15"/>
    <s v="COMMON SHAREHOLDERS' EQUITY"/>
    <s v="F:CDI(WC03501)~U$"/>
    <s v="FR0000130403"/>
    <s v="U$"/>
    <n v="12032328"/>
    <n v="13365664"/>
    <n v="18042406"/>
    <n v="19095440"/>
    <n v="22981995"/>
    <x v="18"/>
  </r>
  <r>
    <x v="941"/>
    <x v="15"/>
    <s v="COMMON STOCK"/>
    <s v="F:CDI(WC03480)~U$"/>
    <s v="FR0000130403"/>
    <s v="U$"/>
    <n v="399234"/>
    <n v="428128"/>
    <n v="423713"/>
    <n v="362089"/>
    <n v="385400"/>
    <x v="18"/>
  </r>
  <r>
    <x v="942"/>
    <x v="15"/>
    <s v="COST OF GOODS SOLD (EXCL DEP)"/>
    <s v="F:CDI(WC01051)~U$"/>
    <s v="FR0000130403"/>
    <s v="U$"/>
    <n v="15085752"/>
    <n v="13180656"/>
    <n v="17898039"/>
    <n v="19389324"/>
    <n v="22314751"/>
    <x v="18"/>
  </r>
  <r>
    <x v="943"/>
    <x v="15"/>
    <s v="CURRENT ASSETS - TOTAL"/>
    <s v="F:CDI(WC02201)~U$"/>
    <s v="FR0000130403"/>
    <s v="U$"/>
    <n v="29746834"/>
    <n v="47885130"/>
    <n v="40378276"/>
    <n v="40210956"/>
    <n v="46891724"/>
    <x v="18"/>
  </r>
  <r>
    <x v="944"/>
    <x v="15"/>
    <s v="CURRENT LIABILITIES-TOTAL"/>
    <s v="F:CDI(WC03101)~U$"/>
    <s v="FR0000130403"/>
    <s v="U$"/>
    <n v="25050024"/>
    <n v="30461143"/>
    <n v="32879386"/>
    <n v="31668259"/>
    <n v="35405531"/>
    <x v="18"/>
  </r>
  <r>
    <x v="945"/>
    <x v="15"/>
    <s v="DEFERRED TAXES"/>
    <s v="F:CDI(WC03263)~U$"/>
    <s v="FR0000130403"/>
    <s v="U$"/>
    <n v="3118673"/>
    <n v="3266108"/>
    <n v="3692520"/>
    <n v="2900726"/>
    <n v="2801354"/>
    <x v="18"/>
  </r>
  <r>
    <x v="946"/>
    <x v="15"/>
    <s v="DEPRECIATION AND DEPLETION"/>
    <s v="F:CDI(WC04049)~U$"/>
    <s v="FR0000130403"/>
    <s v="U$"/>
    <n v="5649001"/>
    <n v="7175001"/>
    <n v="6839260"/>
    <n v="6244785"/>
    <n v="7659953"/>
    <x v="18"/>
  </r>
  <r>
    <x v="947"/>
    <x v="15"/>
    <s v="DEPRECIATION/DEPLETION/AMORT"/>
    <s v="F:CDI(WC01151)~U$"/>
    <s v="FR0000130403"/>
    <s v="U$"/>
    <n v="4956700"/>
    <n v="5641567"/>
    <n v="5993008"/>
    <n v="5674068"/>
    <n v="6377778"/>
    <x v="18"/>
  </r>
  <r>
    <x v="948"/>
    <x v="15"/>
    <s v="DIVIDENDS PER SHARE"/>
    <s v="F:CDI(WC05101)~U$"/>
    <s v="FR0000130403"/>
    <s v="U$"/>
    <n v="5.3079999999999998"/>
    <n v="7.1159999999999997"/>
    <n v="11.737"/>
    <n v="12.036"/>
    <n v="13.879"/>
    <x v="18"/>
  </r>
  <r>
    <x v="949"/>
    <x v="15"/>
    <s v="DIVIDENDS PER SHARE - FISCAL"/>
    <s v="F:CDI(WC05110)~U$"/>
    <s v="FR0000130403"/>
    <s v="U$"/>
    <n v="5.3079999999999998"/>
    <n v="7.1159999999999997"/>
    <n v="11.737"/>
    <n v="12.036"/>
    <n v="13.879"/>
    <x v="18"/>
  </r>
  <r>
    <x v="950"/>
    <x v="15"/>
    <s v="EARNINGS BEF INTEREST &amp; TAXES"/>
    <s v="F:CDI(WC18191)~U$"/>
    <s v="FR0000130403"/>
    <s v="U$"/>
    <n v="12315442"/>
    <n v="9161469"/>
    <n v="20466136"/>
    <n v="20539785"/>
    <n v="24129653"/>
    <x v="18"/>
  </r>
  <r>
    <x v="951"/>
    <x v="15"/>
    <s v="EBIT &amp; DEPRECIATION"/>
    <s v="F:CDI(WC18198)~U$"/>
    <s v="FR0000130403"/>
    <s v="U$"/>
    <n v="17272141"/>
    <n v="14803036"/>
    <n v="26459144"/>
    <n v="26213852"/>
    <n v="30507431"/>
    <x v="18"/>
  </r>
  <r>
    <x v="952"/>
    <x v="15"/>
    <s v="EARNINGS PER SHARE"/>
    <s v="F:CDI(WC05201)~U$"/>
    <s v="FR0000130403"/>
    <s v="U$"/>
    <n v="18.018999999999998"/>
    <n v="12.707000000000001"/>
    <n v="32.177999999999997"/>
    <n v="32.228999999999999"/>
    <n v="37.304000000000002"/>
    <x v="18"/>
  </r>
  <r>
    <x v="953"/>
    <x v="15"/>
    <s v="FISCAL EPS-FULLY DILUTED-YR"/>
    <s v="F:CDI(WC10030)~U$"/>
    <s v="FR0000130403"/>
    <s v="U$"/>
    <n v="17.992999999999999"/>
    <n v="12.69"/>
    <n v="32.177999999999997"/>
    <n v="32.228999999999999"/>
    <n v="37.304000000000002"/>
    <x v="18"/>
  </r>
  <r>
    <x v="954"/>
    <x v="15"/>
    <s v="ENTERPRISE VALUE"/>
    <s v="F:CDI(WC18100)~U$"/>
    <s v="FR0000130403"/>
    <s v="U$"/>
    <n v="151076000"/>
    <n v="158619299"/>
    <n v="234646028"/>
    <n v="194649118"/>
    <n v="218648141"/>
    <x v="18"/>
  </r>
  <r>
    <x v="955"/>
    <x v="15"/>
    <s v="GROSS INCOME"/>
    <s v="F:CDI(WC01100)~U$"/>
    <s v="FR0000130403"/>
    <s v="U$"/>
    <n v="39311872"/>
    <n v="34131660"/>
    <n v="51479309"/>
    <n v="54359516"/>
    <n v="63283490"/>
    <x v="18"/>
  </r>
  <r>
    <x v="956"/>
    <x v="15"/>
    <s v="INCOME TAXES"/>
    <s v="F:CDI(WC01451)~U$"/>
    <s v="FR0000130403"/>
    <s v="U$"/>
    <n v="3178393"/>
    <n v="2828492"/>
    <n v="5318120"/>
    <n v="5409271"/>
    <n v="6092732"/>
    <x v="18"/>
  </r>
  <r>
    <x v="957"/>
    <x v="15"/>
    <s v="INCREASE/DECREASE IN CASH/SHOR"/>
    <s v="F:CDI(WC04851)~U$"/>
    <s v="FR0000130403"/>
    <s v="U$"/>
    <n v="-2730498"/>
    <n v="16976884"/>
    <n v="-14416789"/>
    <n v="-531599"/>
    <n v="296790"/>
    <x v="18"/>
  </r>
  <r>
    <x v="958"/>
    <x v="15"/>
    <s v="INTEREST EXPENSE ON DEBT"/>
    <s v="F:CDI(WC01251)~U$"/>
    <s v="FR0000130403"/>
    <s v="U$"/>
    <n v="499872"/>
    <n v="437616"/>
    <n v="284040"/>
    <n v="384156"/>
    <n v="1039832"/>
    <x v="18"/>
  </r>
  <r>
    <x v="959"/>
    <x v="15"/>
    <s v="TOTAL INVENTORIES"/>
    <s v="F:CDI(WC02101)~U$"/>
    <s v="FR0000130403"/>
    <s v="U$"/>
    <n v="15169802"/>
    <n v="15436334"/>
    <n v="19423873"/>
    <n v="20380305"/>
    <n v="24503309"/>
    <x v="18"/>
  </r>
  <r>
    <x v="960"/>
    <x v="15"/>
    <s v="LONG TERM DEBT"/>
    <s v="F:CDI(WC03251)~U$"/>
    <s v="FR0000130403"/>
    <s v="U$"/>
    <n v="17498853"/>
    <n v="29328560"/>
    <n v="28230286"/>
    <n v="23225864"/>
    <n v="26729233"/>
    <x v="18"/>
  </r>
  <r>
    <x v="961"/>
    <x v="15"/>
    <s v="MARKET CAPITALIZATION"/>
    <s v="F:CDI(WC08001)~U$"/>
    <s v="FR0000130403"/>
    <s v="U$"/>
    <n v="91139966"/>
    <n v="97265328"/>
    <n v="154578449"/>
    <n v="123230287"/>
    <n v="136267614"/>
    <x v="18"/>
  </r>
  <r>
    <x v="962"/>
    <x v="15"/>
    <s v="NET CASH FLOW - FINANCING"/>
    <s v="F:CDI(WC04890)~U$"/>
    <s v="FR0000130403"/>
    <s v="U$"/>
    <n v="-9243217"/>
    <n v="8815171"/>
    <n v="-18119872"/>
    <n v="-12532699"/>
    <n v="-10180531"/>
    <x v="18"/>
  </r>
  <r>
    <x v="963"/>
    <x v="15"/>
    <s v="NET CASH FLOW - INVESTING"/>
    <s v="F:CDI(WC04870)~U$"/>
    <s v="FR0000130403"/>
    <s v="U$"/>
    <n v="6499448"/>
    <n v="3499740"/>
    <n v="18766591"/>
    <n v="5944882"/>
    <n v="8877005"/>
    <x v="18"/>
  </r>
  <r>
    <x v="964"/>
    <x v="15"/>
    <s v="NET CASH FLOW-OPERATING ACTIVS"/>
    <s v="F:CDI(WC04860)~U$"/>
    <s v="FR0000130403"/>
    <s v="U$"/>
    <n v="12969036"/>
    <n v="12909073"/>
    <n v="21885162"/>
    <n v="17890816"/>
    <n v="19645778"/>
    <x v="18"/>
  </r>
  <r>
    <x v="965"/>
    <x v="15"/>
    <s v="NET DEBT"/>
    <s v="F:CDI(WC18199)~U$"/>
    <s v="FR0000130403"/>
    <s v="U$"/>
    <n v="20596514"/>
    <n v="18701256"/>
    <n v="27635211"/>
    <n v="23509718"/>
    <n v="28269764"/>
    <x v="18"/>
  </r>
  <r>
    <x v="966"/>
    <x v="15"/>
    <s v="NET INCOME - DILUTED"/>
    <s v="F:CDI(WC01705)~U$"/>
    <s v="FR0000130403"/>
    <s v="U$"/>
    <n v="3249171"/>
    <n v="2292443"/>
    <n v="5805213"/>
    <n v="5814490"/>
    <n v="6730083"/>
    <x v="18"/>
  </r>
  <r>
    <x v="967"/>
    <x v="15"/>
    <s v="NET SALES OR REVENUES"/>
    <s v="F:CDI(WC01001)~U$"/>
    <s v="FR0000130403"/>
    <s v="U$"/>
    <n v="59354324"/>
    <n v="52953883"/>
    <n v="75370356"/>
    <n v="79422907"/>
    <n v="91976020"/>
    <x v="18"/>
  </r>
  <r>
    <x v="968"/>
    <x v="15"/>
    <s v="NON-OPERATING INTEREST INCOME"/>
    <s v="F:CDI(WC01266)~U$"/>
    <s v="FR0000130403"/>
    <s v="U$"/>
    <n v="51978"/>
    <n v="54554"/>
    <n v="50470"/>
    <n v="116350"/>
    <n v="231667"/>
    <x v="18"/>
  </r>
  <r>
    <x v="969"/>
    <x v="15"/>
    <s v="OPERATING EXPENSES - TOTAL"/>
    <s v="F:CDI(WC01249)~U$"/>
    <s v="FR0000130403"/>
    <s v="U$"/>
    <n v="46791158"/>
    <n v="43102191"/>
    <n v="55289201"/>
    <n v="58350521"/>
    <n v="67661674"/>
    <x v="18"/>
  </r>
  <r>
    <x v="970"/>
    <x v="15"/>
    <s v="OPERATING INCOME"/>
    <s v="F:CDI(WC01250)~U$"/>
    <s v="FR0000130403"/>
    <s v="U$"/>
    <n v="12563166"/>
    <n v="9851692"/>
    <n v="20081156"/>
    <n v="21072387"/>
    <n v="24314346"/>
    <x v="18"/>
  </r>
  <r>
    <x v="971"/>
    <x v="15"/>
    <s v="PRETAX INCOME"/>
    <s v="F:CDI(WC01401)~U$"/>
    <s v="FR0000130403"/>
    <s v="U$"/>
    <n v="11815569"/>
    <n v="8723853"/>
    <n v="20182096"/>
    <n v="20155629"/>
    <n v="23089821"/>
    <x v="18"/>
  </r>
  <r>
    <x v="972"/>
    <x v="15"/>
    <s v="PROPERTY, PLANT &amp; EQUIP - NET"/>
    <s v="F:CDI(WC02501)~U$"/>
    <s v="FR0000130403"/>
    <s v="U$"/>
    <n v="33494772"/>
    <n v="35685255"/>
    <n v="39016762"/>
    <n v="37134703"/>
    <n v="45233758"/>
    <x v="18"/>
  </r>
  <r>
    <x v="973"/>
    <x v="15"/>
    <s v="RECEIVABLES(NET)"/>
    <s v="F:CDI(WC02051)~U$"/>
    <s v="FR0000130403"/>
    <s v="U$"/>
    <n v="6082519"/>
    <n v="5558551"/>
    <n v="7173770"/>
    <n v="7131452"/>
    <n v="8480929"/>
    <x v="18"/>
  </r>
  <r>
    <x v="974"/>
    <x v="15"/>
    <s v="RESEARCH &amp; DEVELOPMENT"/>
    <s v="F:CDI(WC01201)~U$"/>
    <s v="FR0000130403"/>
    <s v="U$"/>
    <n v="154828"/>
    <n v="164847"/>
    <n v="172537"/>
    <n v="172519"/>
    <n v="215653"/>
    <x v="18"/>
  </r>
  <r>
    <x v="975"/>
    <x v="15"/>
    <s v="SELLING, GENERAL &amp; ADMINISTRAT"/>
    <s v="F:CDI(WC01101)~U$"/>
    <s v="FR0000130403"/>
    <s v="U$"/>
    <n v="26633691"/>
    <n v="24238460"/>
    <n v="31377026"/>
    <n v="33283117"/>
    <n v="38954198"/>
    <x v="18"/>
  </r>
  <r>
    <x v="976"/>
    <x v="15"/>
    <s v="SHORT TERM DEBT &amp; CURRENT PORT"/>
    <s v="F:CDI(WC03051)~U$"/>
    <s v="FR0000130403"/>
    <s v="U$"/>
    <n v="10811401"/>
    <n v="15556115"/>
    <n v="12226629"/>
    <n v="11983046"/>
    <n v="14374022"/>
    <x v="18"/>
  </r>
  <r>
    <x v="977"/>
    <x v="15"/>
    <s v="TOTAL ASSETS"/>
    <s v="F:CDI(WC02999)~U$"/>
    <s v="FR0000130403"/>
    <s v="U$"/>
    <n v="101252925"/>
    <n v="122973595"/>
    <n v="139907288"/>
    <n v="128677066"/>
    <n v="146132689"/>
    <x v="18"/>
  </r>
  <r>
    <x v="978"/>
    <x v="15"/>
    <s v="TOTAL CAPITAL"/>
    <s v="F:CDI(WC03998)~U$"/>
    <s v="FR0000130403"/>
    <s v="U$"/>
    <n v="68870701"/>
    <n v="85346939"/>
    <n v="98705061"/>
    <n v="90230417"/>
    <n v="103821990"/>
    <x v="18"/>
  </r>
  <r>
    <x v="979"/>
    <x v="15"/>
    <s v="TOTAL DEBT"/>
    <s v="F:CDI(WC03255)~U$"/>
    <s v="FR0000130403"/>
    <s v="U$"/>
    <n v="28310254"/>
    <n v="44884675"/>
    <n v="40456915"/>
    <n v="35208910"/>
    <n v="41103255"/>
    <x v="18"/>
  </r>
  <r>
    <x v="980"/>
    <x v="15"/>
    <s v="TOTAL INTANGIBLE OT ASSETS-NET"/>
    <s v="F:CDI(WC02649)~U$"/>
    <s v="FR0000130403"/>
    <s v="U$"/>
    <n v="34100812"/>
    <n v="36350574"/>
    <n v="56403060"/>
    <n v="47959263"/>
    <n v="50407296"/>
    <x v="18"/>
  </r>
  <r>
    <x v="981"/>
    <x v="15"/>
    <s v="TOTAL LIABILITIES"/>
    <s v="F:CDI(WC03351)~U$"/>
    <s v="FR0000130403"/>
    <s v="U$"/>
    <n v="49881077"/>
    <n v="66955216"/>
    <n v="69432513"/>
    <n v="61672514"/>
    <n v="69039931"/>
    <x v="18"/>
  </r>
  <r>
    <x v="982"/>
    <x v="15"/>
    <s v="TOTAL LIABILITIES &amp; SHAREHOLDE"/>
    <s v="F:CDI(WC03999)~U$"/>
    <s v="FR0000130403"/>
    <s v="U$"/>
    <n v="101252925"/>
    <n v="122973595"/>
    <n v="139907288"/>
    <n v="128677066"/>
    <n v="146132689"/>
    <x v="18"/>
  </r>
  <r>
    <x v="983"/>
    <x v="15"/>
    <s v="TOTAL SHAREHOLDERS EQUITY"/>
    <s v="F:CDI(WC03995)~U$"/>
    <s v="FR0000130403"/>
    <s v="U$"/>
    <n v="12032328"/>
    <n v="13365664"/>
    <n v="18042406"/>
    <n v="19095440"/>
    <n v="22981995"/>
    <x v="18"/>
  </r>
  <r>
    <x v="984"/>
    <x v="15"/>
    <s v="WORKING CAPITAL"/>
    <s v="F:CDI(WC03151)~U$"/>
    <s v="FR0000130403"/>
    <s v="U$"/>
    <n v="4696810"/>
    <n v="17423987"/>
    <n v="7498890"/>
    <n v="8542697"/>
    <n v="11486193"/>
    <x v="18"/>
  </r>
  <r>
    <x v="985"/>
    <x v="15"/>
    <s v="BK VAL PS 12M FWD"/>
    <s v="F:CDI(DIBV)~U$"/>
    <s v="FR0000130403"/>
    <s v="U$"/>
    <n v="102.89"/>
    <n v="84.4"/>
    <n v="88.62"/>
    <s v="NA"/>
    <s v="NA"/>
    <x v="18"/>
  </r>
  <r>
    <x v="986"/>
    <x v="15"/>
    <s v="EV 12M FWD"/>
    <s v="F:CDI(DIEV)~U$"/>
    <s v="FR0000130403"/>
    <s v="U$"/>
    <n v="116290025.8"/>
    <n v="124281632.7"/>
    <n v="113322931.40000001"/>
    <s v="NA"/>
    <s v="NA"/>
    <x v="18"/>
  </r>
  <r>
    <x v="987"/>
    <x v="15"/>
    <s v="NET INCOME 12M FWD"/>
    <s v="F:CDI(DINI)~U$"/>
    <s v="FR0000130403"/>
    <s v="U$"/>
    <n v="3540394.18"/>
    <n v="2980590.49"/>
    <n v="3424520.78"/>
    <s v="NA"/>
    <s v="NA"/>
    <x v="18"/>
  </r>
  <r>
    <x v="988"/>
    <x v="15"/>
    <s v="PRETAX PRF 12M FWD"/>
    <s v="F:CDI(DINP)~U$"/>
    <s v="FR0000130403"/>
    <s v="U$"/>
    <n v="13244040.92"/>
    <n v="11040014.66"/>
    <n v="12468805.109999999"/>
    <s v="NA"/>
    <s v="NA"/>
    <x v="18"/>
  </r>
  <r>
    <x v="989"/>
    <x v="15"/>
    <s v="ROE 12M FWD"/>
    <s v="F:CDI(DIRE)~U$"/>
    <s v="FR0000130403"/>
    <s v="U$"/>
    <n v="22.27"/>
    <n v="24.43"/>
    <n v="26.86"/>
    <s v="NA"/>
    <s v="NA"/>
    <x v="18"/>
  </r>
  <r>
    <x v="990"/>
    <x v="15"/>
    <s v="SALES 12M FWD"/>
    <s v="F:CDI(DISL)~U$"/>
    <s v="FR0000130403"/>
    <s v="U$"/>
    <n v="62071559.649999999"/>
    <n v="62446241.32"/>
    <n v="65862247.810000002"/>
    <s v="NA"/>
    <s v="NA"/>
    <x v="18"/>
  </r>
  <r>
    <x v="991"/>
    <x v="15"/>
    <s v="DECREASE/INCREASE RECEIVABLES"/>
    <s v="F:CDI(WC04825)~U$"/>
    <s v="FR0000130403"/>
    <s v="U$"/>
    <n v="-123862"/>
    <n v="614322"/>
    <n v="-687799"/>
    <n v="-389171"/>
    <n v="-716352"/>
    <x v="18"/>
  </r>
  <r>
    <x v="992"/>
    <x v="15"/>
    <s v="DECREASE/INCR OTH ASTS/LIABILT"/>
    <s v="F:CDI(WC04830)~U$"/>
    <s v="FR0000130403"/>
    <s v="U$"/>
    <n v="109485"/>
    <n v="278698"/>
    <n v="1176066"/>
    <n v="8024"/>
    <n v="-114232"/>
    <x v="18"/>
  </r>
  <r>
    <x v="993"/>
    <x v="15"/>
    <s v="DECREASE/INCREASE INVENTORIES"/>
    <s v="F:CDI(WC04826)~U$"/>
    <s v="FR0000130403"/>
    <s v="U$"/>
    <n v="-1773884"/>
    <n v="-666504"/>
    <n v="-1839217"/>
    <n v="-4181578"/>
    <n v="-4515903"/>
    <x v="18"/>
  </r>
  <r>
    <x v="994"/>
    <x v="15"/>
    <s v="DECREASE IN INVESTMENTS"/>
    <s v="F:CDI(WC04440)~U$"/>
    <s v="FR0000130403"/>
    <s v="U$"/>
    <n v="0"/>
    <n v="74715"/>
    <n v="0"/>
    <n v="0"/>
    <n v="0"/>
    <x v="18"/>
  </r>
  <r>
    <x v="995"/>
    <x v="16"/>
    <s v="MARKET VALUE"/>
    <s v="K:PRAD(MV)~U$"/>
    <s v="IT0003874101"/>
    <s v="U$"/>
    <n v="8367.9599999999991"/>
    <n v="10416.82"/>
    <n v="14389.09"/>
    <n v="13625.95"/>
    <n v="15935.23"/>
    <x v="400"/>
  </r>
  <r>
    <x v="996"/>
    <x v="16"/>
    <s v="PER"/>
    <s v="K:PRAD(PE)"/>
    <s v="IT0003874101"/>
    <s v="K$"/>
    <n v="29.7"/>
    <s v="NA"/>
    <n v="54.3"/>
    <n v="34.799999999999997"/>
    <n v="25"/>
    <x v="401"/>
  </r>
  <r>
    <x v="997"/>
    <x v="16"/>
    <s v="12MTH FORWARD EPS"/>
    <s v="K:PRAD(EPS1FD12)~U$"/>
    <s v="IT0003874101"/>
    <s v="U$"/>
    <n v="0.111"/>
    <n v="4.7E-2"/>
    <n v="0.14099999999999999"/>
    <n v="0.20100000000000001"/>
    <n v="0.31"/>
    <x v="402"/>
  </r>
  <r>
    <x v="998"/>
    <x v="16"/>
    <e v="#VALUE!"/>
    <s v="529E(K:PRAD)"/>
    <s v="IT0003874101"/>
    <s v="E"/>
    <n v="3.802"/>
    <n v="1.1299999999999999"/>
    <n v="2.532"/>
    <n v="3.65"/>
    <n v="4.9240000000000004"/>
    <x v="403"/>
  </r>
  <r>
    <x v="998"/>
    <x v="16"/>
    <e v="#VALUE!"/>
    <s v="384E(K:PRAD)"/>
    <s v="IT0003874101"/>
    <s v="NA"/>
    <n v="28.585999999999999"/>
    <n v="49.689"/>
    <n v="28.216000000000001"/>
    <n v="18.872"/>
    <n v="14.74"/>
    <x v="404"/>
  </r>
  <r>
    <x v="998"/>
    <x v="16"/>
    <e v="#VALUE!"/>
    <s v="380E(K:PRAD)"/>
    <s v="IT0003874101"/>
    <s v="NA"/>
    <n v="15.183999999999999"/>
    <n v="13.683999999999999"/>
    <n v="13.215"/>
    <n v="10.749000000000001"/>
    <n v="9.1349999999999998"/>
    <x v="405"/>
  </r>
  <r>
    <x v="998"/>
    <x v="16"/>
    <e v="#VALUE!"/>
    <s v="157E(K:PRAD)"/>
    <s v="IT0003874101"/>
    <s v="E"/>
    <n v="4.3959999999999999"/>
    <n v="1.3839999999999999"/>
    <n v="1.774"/>
    <n v="3.39"/>
    <n v="5.2709999999999999"/>
    <x v="406"/>
  </r>
  <r>
    <x v="998"/>
    <x v="16"/>
    <e v="#VALUE!"/>
    <s v="388E(K:PRAD)"/>
    <s v="IT0003874101"/>
    <s v="NA"/>
    <n v="3.1190000000000002"/>
    <n v="3.8540000000000001"/>
    <n v="4.0309999999999997"/>
    <n v="3.5840000000000001"/>
    <n v="3.339"/>
    <x v="407"/>
  </r>
  <r>
    <x v="998"/>
    <x v="16"/>
    <e v="#VALUE!"/>
    <s v="334E(K:PRAD)"/>
    <s v="IT0003874101"/>
    <s v="E"/>
    <n v="0.46100000000000002"/>
    <n v="0.47799999999999998"/>
    <n v="0.158"/>
    <n v="-7.1999999999999995E-2"/>
    <n v="-0.41099999999999998"/>
    <x v="408"/>
  </r>
  <r>
    <x v="998"/>
    <x v="16"/>
    <e v="#VALUE!"/>
    <s v="338E(K:PRAD)"/>
    <s v="IT0003874101"/>
    <s v="E"/>
    <n v="4.2000000000000003E-2"/>
    <n v="4.1000000000000002E-2"/>
    <n v="1.2E-2"/>
    <n v="-7.0000000000000001E-3"/>
    <n v="-4.7E-2"/>
    <x v="409"/>
  </r>
  <r>
    <x v="998"/>
    <x v="16"/>
    <e v="#VALUE!"/>
    <s v="251E(K:PRAD)"/>
    <s v="IT0003874101"/>
    <s v="NA"/>
    <n v="2.0499999999999998"/>
    <n v="5.16"/>
    <n v="2.64"/>
    <n v="2.4500000000000002"/>
    <n v="1.95"/>
    <x v="410"/>
  </r>
  <r>
    <x v="998"/>
    <x v="16"/>
    <e v="#VALUE!"/>
    <s v="250E(K:PRAD)"/>
    <s v="IT0003874101"/>
    <s v="NA"/>
    <n v="1.38"/>
    <n v="3.15"/>
    <n v="1.25"/>
    <n v="1.35"/>
    <n v="1.21"/>
    <x v="411"/>
  </r>
  <r>
    <x v="998"/>
    <x v="16"/>
    <e v="#VALUE!"/>
    <s v="553E(K:PRAD)"/>
    <s v="IT0003874101"/>
    <s v="E"/>
    <n v="2.4569999999999999"/>
    <n v="2.9209999999999998"/>
    <n v="3.895"/>
    <n v="3.8610000000000002"/>
    <n v="3.6339999999999999"/>
    <x v="412"/>
  </r>
  <r>
    <x v="999"/>
    <x v="16"/>
    <s v="12MTH TRAILING EPS"/>
    <s v="K:PRAD(EPS1TR12)~U$"/>
    <s v="IT0003874101"/>
    <s v="U$"/>
    <n v="0.10299999999999999"/>
    <n v="1.2E-2"/>
    <n v="7.2999999999999995E-2"/>
    <n v="0.157"/>
    <n v="0.25700000000000001"/>
    <x v="413"/>
  </r>
  <r>
    <x v="1000"/>
    <x v="16"/>
    <s v="DIV.PER SHR."/>
    <s v="K:PRAD(DPS)~U$"/>
    <s v="IT0003874101"/>
    <s v="U$"/>
    <n v="7.0000000000000007E-2"/>
    <n v="0"/>
    <n v="0.04"/>
    <n v="7.0000000000000007E-2"/>
    <n v="0.12"/>
    <x v="414"/>
  </r>
  <r>
    <x v="998"/>
    <x v="16"/>
    <e v="#VALUE!"/>
    <s v="354E(K:PRAD)"/>
    <s v="IT0003874101"/>
    <s v="E"/>
    <n v="3.0419999999999998"/>
    <n v="0.91800000000000004"/>
    <n v="1.53"/>
    <n v="2.4180000000000001"/>
    <n v="2.9710000000000001"/>
    <x v="415"/>
  </r>
  <r>
    <x v="997"/>
    <x v="16"/>
    <s v="12MTH FORWARD EPS"/>
    <s v="K:PRAD(EPS1FD12)~U$"/>
    <s v="IT0003874101"/>
    <s v="U$"/>
    <n v="0.111"/>
    <n v="4.7E-2"/>
    <n v="0.14099999999999999"/>
    <n v="0.20100000000000001"/>
    <n v="0.31"/>
    <x v="402"/>
  </r>
  <r>
    <x v="996"/>
    <x v="16"/>
    <s v="PER"/>
    <s v="K:PRAD(PE)"/>
    <s v="IT0003874101"/>
    <s v="K$"/>
    <n v="29.7"/>
    <s v="NA"/>
    <n v="54.3"/>
    <n v="34.799999999999997"/>
    <n v="25"/>
    <x v="401"/>
  </r>
  <r>
    <x v="995"/>
    <x v="16"/>
    <s v="MARKET VALUE"/>
    <s v="K:PRAD(MV)~U$"/>
    <s v="IT0003874101"/>
    <s v="U$"/>
    <n v="8367.9599999999991"/>
    <n v="10416.82"/>
    <n v="14389.09"/>
    <n v="13625.95"/>
    <n v="15935.23"/>
    <x v="400"/>
  </r>
  <r>
    <x v="1001"/>
    <x v="16"/>
    <s v="EARNINGS PER SHR"/>
    <s v="K:PRAD(EPS)~U$"/>
    <s v="IT0003874101"/>
    <s v="U$"/>
    <n v="0.11"/>
    <n v="0"/>
    <n v="0.1"/>
    <n v="0.15"/>
    <n v="0.24"/>
    <x v="11"/>
  </r>
  <r>
    <x v="998"/>
    <x v="16"/>
    <e v="#VALUE!"/>
    <s v="897E(K:PRAD)"/>
    <s v="IT0003874101"/>
    <s v="NA"/>
    <n v="0.30499999999999999"/>
    <n v="1.022"/>
    <n v="1.2010000000000001"/>
    <n v="1.198"/>
    <n v="1.06"/>
    <x v="416"/>
  </r>
  <r>
    <x v="998"/>
    <x v="16"/>
    <e v="#VALUE!"/>
    <s v="400E(K:PRAD)"/>
    <s v="IT0003874101"/>
    <s v="NA"/>
    <n v="0.32890000000000003"/>
    <n v="0.3891"/>
    <n v="0.40489999999999998"/>
    <n v="0.41289999999999999"/>
    <n v="0.4148"/>
    <x v="417"/>
  </r>
  <r>
    <x v="1002"/>
    <x v="16"/>
    <s v="ACCOUNTS PAYABLE"/>
    <s v="K:PRAD(WC03040)~U$"/>
    <s v="IT0003874101"/>
    <s v="U$"/>
    <n v="361998"/>
    <n v="343425"/>
    <n v="457942"/>
    <n v="403011"/>
    <n v="484031"/>
    <x v="18"/>
  </r>
  <r>
    <x v="1003"/>
    <x v="16"/>
    <s v="AMORT &amp; IMPAIR OF GOODWILL"/>
    <s v="K:PRAD(WC18224)~U$"/>
    <s v="IT0003874101"/>
    <s v="U$"/>
    <n v="0"/>
    <n v="0"/>
    <n v="0"/>
    <n v="0"/>
    <s v="NA"/>
    <x v="18"/>
  </r>
  <r>
    <x v="1004"/>
    <x v="16"/>
    <s v="AMORTIZATION OF DEFERRED CHARG"/>
    <s v="K:PRAD(WC01150)~U$"/>
    <s v="IT0003874101"/>
    <s v="U$"/>
    <n v="0"/>
    <n v="0"/>
    <n v="0"/>
    <n v="0"/>
    <n v="0"/>
    <x v="18"/>
  </r>
  <r>
    <x v="1005"/>
    <x v="16"/>
    <s v="AMORTIZATION-INTANGIBLE ASSETS"/>
    <s v="K:PRAD(WC04050)~U$"/>
    <s v="IT0003874101"/>
    <s v="U$"/>
    <s v="NA"/>
    <n v="37010"/>
    <s v="NA"/>
    <n v="40824"/>
    <n v="46277"/>
    <x v="18"/>
  </r>
  <r>
    <x v="1006"/>
    <x v="16"/>
    <s v="AMORTIZATION OF INTANGIBLES"/>
    <s v="K:PRAD(WC01149)~U$"/>
    <s v="IT0003874101"/>
    <s v="U$"/>
    <n v="32467"/>
    <n v="37010"/>
    <n v="43333"/>
    <n v="40824"/>
    <n v="46277"/>
    <x v="18"/>
  </r>
  <r>
    <x v="1007"/>
    <x v="16"/>
    <s v="BOOK VALUE-OUT SHARES-FISCAL"/>
    <s v="K:PRAD(WC05491)~U$"/>
    <s v="IT0003874101"/>
    <s v="U$"/>
    <n v="1.282"/>
    <n v="1.3129999999999999"/>
    <n v="1.4279999999999999"/>
    <n v="1.365"/>
    <n v="1.6080000000000001"/>
    <x v="18"/>
  </r>
  <r>
    <x v="1008"/>
    <x v="16"/>
    <s v="BOOK VALUE PER SHARE"/>
    <s v="K:PRAD(WC05476)~U$"/>
    <s v="IT0003874101"/>
    <s v="U$"/>
    <n v="1.282"/>
    <n v="1.3129999999999999"/>
    <n v="1.4279999999999999"/>
    <n v="1.365"/>
    <n v="1.6080000000000001"/>
    <x v="18"/>
  </r>
  <r>
    <x v="1009"/>
    <x v="16"/>
    <s v="CAPITAL EXPENDITURES"/>
    <s v="K:PRAD(WC04601)~U$"/>
    <s v="IT0003874101"/>
    <s v="U$"/>
    <n v="343891"/>
    <n v="129929"/>
    <n v="257782"/>
    <n v="242224"/>
    <n v="811022"/>
    <x v="18"/>
  </r>
  <r>
    <x v="1010"/>
    <x v="16"/>
    <s v="CASH"/>
    <s v="K:PRAD(WC02003)~U$"/>
    <s v="IT0003874101"/>
    <s v="U$"/>
    <n v="465665"/>
    <n v="524655"/>
    <n v="1152341"/>
    <n v="1094916"/>
    <n v="736123"/>
    <x v="18"/>
  </r>
  <r>
    <x v="1011"/>
    <x v="16"/>
    <s v="CASH - GENERIC"/>
    <s v="K:PRAD(WC02005)~U$"/>
    <s v="IT0003874101"/>
    <s v="U$"/>
    <n v="469332"/>
    <n v="537334"/>
    <n v="1154409"/>
    <n v="1117466"/>
    <n v="754859"/>
    <x v="18"/>
  </r>
  <r>
    <x v="1012"/>
    <x v="16"/>
    <s v="CASH &amp; SHORT TERM INVESTMENTS"/>
    <s v="K:PRAD(WC02001)~U$"/>
    <s v="IT0003874101"/>
    <s v="U$"/>
    <n v="469332"/>
    <n v="537334"/>
    <n v="1154409"/>
    <n v="1117466"/>
    <n v="754859"/>
    <x v="18"/>
  </r>
  <r>
    <x v="1013"/>
    <x v="16"/>
    <s v="CASH DIVIDENDS PAID - TOTAL"/>
    <s v="K:PRAD(WC04551)~U$"/>
    <s v="IT0003874101"/>
    <s v="U$"/>
    <n v="169790"/>
    <n v="0"/>
    <n v="105117"/>
    <n v="179658"/>
    <n v="300495"/>
    <x v="18"/>
  </r>
  <r>
    <x v="1014"/>
    <x v="16"/>
    <s v="CASH FLOW PER SHARE"/>
    <s v="K:PRAD(WC05501)~U$"/>
    <s v="IT0003874101"/>
    <s v="U$"/>
    <n v="0.39800000000000002"/>
    <n v="0.22600000000000001"/>
    <n v="0.48899999999999999"/>
    <n v="0.49199999999999999"/>
    <n v="0.53400000000000003"/>
    <x v="18"/>
  </r>
  <r>
    <x v="1015"/>
    <x v="16"/>
    <s v="CASH FLOW PER SHARE - FIS YR"/>
    <s v="K:PRAD(WC05502)~U$"/>
    <s v="IT0003874101"/>
    <s v="U$"/>
    <n v="0.39800000000000002"/>
    <n v="0.22600000000000001"/>
    <n v="0.48899999999999999"/>
    <n v="0.49199999999999999"/>
    <n v="0.53400000000000003"/>
    <x v="18"/>
  </r>
  <r>
    <x v="1016"/>
    <x v="16"/>
    <s v="COMMON DIVIDENDS (CASH)"/>
    <s v="K:PRAD(WC05376)~U$"/>
    <s v="IT0003874101"/>
    <s v="U$"/>
    <n v="169790"/>
    <n v="0"/>
    <n v="105117"/>
    <n v="179658"/>
    <n v="300495"/>
    <x v="18"/>
  </r>
  <r>
    <x v="1017"/>
    <x v="16"/>
    <s v="COMMON SHAREHOLDERS' EQUITY"/>
    <s v="K:PRAD(WC03501)~U$"/>
    <s v="IT0003874101"/>
    <s v="U$"/>
    <n v="3281417"/>
    <n v="3358680"/>
    <n v="3654836"/>
    <n v="3492723"/>
    <n v="4114270"/>
    <x v="18"/>
  </r>
  <r>
    <x v="1018"/>
    <x v="16"/>
    <s v="COMMON STOCK"/>
    <s v="K:PRAD(WC03480)~U$"/>
    <s v="IT0003874101"/>
    <s v="U$"/>
    <n v="282983"/>
    <n v="303463"/>
    <n v="300334"/>
    <n v="256654"/>
    <n v="273177"/>
    <x v="18"/>
  </r>
  <r>
    <x v="1019"/>
    <x v="16"/>
    <s v="COST OF GOODS SOLD (EXCL DEP)"/>
    <s v="K:PRAD(WC01051)~U$"/>
    <s v="IT0003874101"/>
    <s v="U$"/>
    <n v="251608"/>
    <n v="37631"/>
    <n v="227829"/>
    <n v="226838"/>
    <n v="265040"/>
    <x v="18"/>
  </r>
  <r>
    <x v="1020"/>
    <x v="16"/>
    <s v="CURRENT ASSETS - TOTAL"/>
    <s v="K:PRAD(WC02201)~U$"/>
    <s v="IT0003874101"/>
    <s v="U$"/>
    <n v="1877373"/>
    <n v="1962639"/>
    <n v="2546776"/>
    <n v="2432083"/>
    <n v="2308927"/>
    <x v="18"/>
  </r>
  <r>
    <x v="1021"/>
    <x v="16"/>
    <s v="CURRENT LIABILITIES-TOTAL"/>
    <s v="K:PRAD(WC03101)~U$"/>
    <s v="IT0003874101"/>
    <s v="U$"/>
    <n v="1362272"/>
    <n v="1455473"/>
    <n v="1666365"/>
    <n v="1494362"/>
    <n v="1548411"/>
    <x v="18"/>
  </r>
  <r>
    <x v="1022"/>
    <x v="16"/>
    <s v="DEFERRED TAXES"/>
    <s v="K:PRAD(WC03263)~U$"/>
    <s v="IT0003874101"/>
    <s v="U$"/>
    <n v="-237626"/>
    <n v="-264038"/>
    <n v="-302416"/>
    <n v="-333237"/>
    <n v="-362037"/>
    <x v="18"/>
  </r>
  <r>
    <x v="1023"/>
    <x v="16"/>
    <s v="DEPRECIATION AND DEPLETION"/>
    <s v="K:PRAD(WC04049)~U$"/>
    <s v="IT0003874101"/>
    <s v="U$"/>
    <n v="750493"/>
    <n v="731047"/>
    <n v="732656"/>
    <n v="623599"/>
    <n v="675819"/>
    <x v="18"/>
  </r>
  <r>
    <x v="1024"/>
    <x v="16"/>
    <s v="DEPRECIATION/DEPLETION/AMORT"/>
    <s v="K:PRAD(WC01151)~U$"/>
    <s v="IT0003874101"/>
    <s v="U$"/>
    <n v="750328"/>
    <n v="768057"/>
    <n v="732635"/>
    <n v="664423"/>
    <n v="722096"/>
    <x v="18"/>
  </r>
  <r>
    <x v="1025"/>
    <x v="16"/>
    <s v="DIVIDENDS PER SHARE"/>
    <s v="K:PRAD(WC05101)~U$"/>
    <s v="IT0003874101"/>
    <s v="U$"/>
    <n v="0"/>
    <n v="4.2000000000000003E-2"/>
    <n v="8.2000000000000003E-2"/>
    <n v="0.11"/>
    <n v="0.14599999999999999"/>
    <x v="18"/>
  </r>
  <r>
    <x v="1026"/>
    <x v="16"/>
    <s v="DIVIDENDS PER SHARE - FISCAL"/>
    <s v="K:PRAD(WC05110)~U$"/>
    <s v="IT0003874101"/>
    <s v="U$"/>
    <n v="0"/>
    <n v="4.2000000000000003E-2"/>
    <n v="8.2000000000000003E-2"/>
    <n v="0.11"/>
    <n v="0.14599999999999999"/>
    <x v="18"/>
  </r>
  <r>
    <x v="1027"/>
    <x v="16"/>
    <s v="EARNINGS BEF INTEREST &amp; TAXES"/>
    <s v="K:PRAD(WC18191)~U$"/>
    <s v="IT0003874101"/>
    <s v="U$"/>
    <n v="325091"/>
    <n v="1302"/>
    <n v="548910"/>
    <n v="760368"/>
    <n v="1119777"/>
    <x v="18"/>
  </r>
  <r>
    <x v="1028"/>
    <x v="16"/>
    <s v="EBIT &amp; DEPRECIATION"/>
    <s v="K:PRAD(WC18198)~U$"/>
    <s v="IT0003874101"/>
    <s v="U$"/>
    <n v="1075419"/>
    <n v="769359"/>
    <n v="1281545"/>
    <n v="1424791"/>
    <n v="1841873"/>
    <x v="18"/>
  </r>
  <r>
    <x v="1029"/>
    <x v="16"/>
    <s v="EARNINGS PER SHARE"/>
    <s v="K:PRAD(WC05201)~U$"/>
    <s v="IT0003874101"/>
    <s v="U$"/>
    <n v="0.111"/>
    <n v="-2.5000000000000001E-2"/>
    <n v="0.13500000000000001"/>
    <n v="0.182"/>
    <n v="0.28000000000000003"/>
    <x v="18"/>
  </r>
  <r>
    <x v="1030"/>
    <x v="16"/>
    <s v="FISCAL EPS-FULLY DILUTED-YR"/>
    <s v="K:PRAD(WC10030)~U$"/>
    <s v="IT0003874101"/>
    <s v="U$"/>
    <n v="0.111"/>
    <n v="-2.5000000000000001E-2"/>
    <n v="0.13500000000000001"/>
    <n v="0.182"/>
    <n v="0.28000000000000003"/>
    <x v="18"/>
  </r>
  <r>
    <x v="1031"/>
    <x v="16"/>
    <s v="ENTERPRISE VALUE"/>
    <s v="K:PRAD(WC18100)~U$"/>
    <s v="IT0003874101"/>
    <s v="U$"/>
    <n v="13571178"/>
    <n v="19316911"/>
    <n v="19041520"/>
    <n v="15112188"/>
    <n v="16194308"/>
    <x v="18"/>
  </r>
  <r>
    <x v="1032"/>
    <x v="16"/>
    <s v="GROSS INCOME"/>
    <s v="K:PRAD(WC01100)~U$"/>
    <s v="IT0003874101"/>
    <s v="U$"/>
    <n v="2565288"/>
    <n v="2067560"/>
    <n v="2989882"/>
    <n v="3322087"/>
    <n v="4058730"/>
    <x v="18"/>
  </r>
  <r>
    <x v="1033"/>
    <x v="16"/>
    <s v="IMPAIRMENT OF GOODWILL"/>
    <s v="K:PRAD(WC18225)~U$"/>
    <s v="IT0003874101"/>
    <s v="U$"/>
    <n v="0"/>
    <n v="0"/>
    <n v="0"/>
    <n v="0"/>
    <s v="NA"/>
    <x v="18"/>
  </r>
  <r>
    <x v="1034"/>
    <x v="16"/>
    <s v="IMPAIRMENT- OTHER INTANGIBLES"/>
    <s v="K:PRAD(WC18226)~U$"/>
    <s v="IT0003874101"/>
    <s v="U$"/>
    <s v="NA"/>
    <s v="NA"/>
    <s v="NA"/>
    <n v="19677"/>
    <s v="NA"/>
    <x v="18"/>
  </r>
  <r>
    <x v="1035"/>
    <x v="16"/>
    <s v="INCOME TAXES"/>
    <s v="K:PRAD(WC01451)~U$"/>
    <s v="IT0003874101"/>
    <s v="U$"/>
    <n v="-25396"/>
    <n v="3031"/>
    <n v="148536"/>
    <n v="242550"/>
    <n v="318217"/>
    <x v="18"/>
  </r>
  <r>
    <x v="1036"/>
    <x v="16"/>
    <s v="INCREASE/DECREASE IN CASH/SHOR"/>
    <s v="K:PRAD(WC04851)~U$"/>
    <s v="IT0003874101"/>
    <s v="U$"/>
    <n v="-197684"/>
    <n v="25288"/>
    <n v="633097"/>
    <n v="110167"/>
    <n v="-429298"/>
    <x v="18"/>
  </r>
  <r>
    <x v="1037"/>
    <x v="16"/>
    <s v="INTEREST EXPENSE ON DEBT"/>
    <s v="K:PRAD(WC01251)~U$"/>
    <s v="IT0003874101"/>
    <s v="U$"/>
    <n v="65467"/>
    <n v="62749"/>
    <n v="54005"/>
    <n v="47248"/>
    <n v="82654"/>
    <x v="18"/>
  </r>
  <r>
    <x v="1038"/>
    <x v="16"/>
    <s v="TOTAL INVENTORIES"/>
    <s v="K:PRAD(WC02101)~U$"/>
    <s v="IT0003874101"/>
    <s v="U$"/>
    <n v="788085"/>
    <n v="790106"/>
    <n v="777769"/>
    <n v="762751"/>
    <n v="835899"/>
    <x v="18"/>
  </r>
  <r>
    <x v="1039"/>
    <x v="16"/>
    <s v="LONG TERM DEBT"/>
    <s v="K:PRAD(WC03251)~U$"/>
    <s v="IT0003874101"/>
    <s v="U$"/>
    <n v="2864205"/>
    <n v="2586581"/>
    <n v="2488282"/>
    <n v="2117476"/>
    <n v="2175769"/>
    <x v="18"/>
  </r>
  <r>
    <x v="1040"/>
    <x v="16"/>
    <s v="MARKET CAPITALIZATION"/>
    <s v="K:PRAD(WC08001)~U$"/>
    <s v="IT0003874101"/>
    <s v="U$"/>
    <n v="10432669"/>
    <n v="16409234"/>
    <n v="16907092"/>
    <n v="13538675"/>
    <n v="14151377"/>
    <x v="18"/>
  </r>
  <r>
    <x v="1041"/>
    <x v="16"/>
    <s v="NET CASH FLOW - FINANCING"/>
    <s v="K:PRAD(WC04890)~U$"/>
    <s v="IT0003874101"/>
    <s v="U$"/>
    <n v="-765834"/>
    <n v="-468771"/>
    <n v="-580670"/>
    <n v="-789754"/>
    <n v="-828159"/>
    <x v="18"/>
  </r>
  <r>
    <x v="1042"/>
    <x v="16"/>
    <s v="NET CASH FLOW - INVESTING"/>
    <s v="K:PRAD(WC04870)~U$"/>
    <s v="IT0003874101"/>
    <s v="U$"/>
    <n v="336635"/>
    <n v="178114"/>
    <n v="161231"/>
    <n v="251438"/>
    <n v="811174"/>
    <x v="18"/>
  </r>
  <r>
    <x v="1043"/>
    <x v="16"/>
    <s v="NET CASH FLOW-OPERATING ACTIVS"/>
    <s v="K:PRAD(WC04860)~U$"/>
    <s v="IT0003874101"/>
    <s v="U$"/>
    <n v="898034"/>
    <n v="702908"/>
    <n v="1342301"/>
    <n v="1127562"/>
    <n v="1234035"/>
    <x v="18"/>
  </r>
  <r>
    <x v="1044"/>
    <x v="16"/>
    <s v="NET DEBT"/>
    <s v="K:PRAD(WC18199)~U$"/>
    <s v="IT0003874101"/>
    <s v="U$"/>
    <n v="3114824"/>
    <n v="2884358"/>
    <n v="2117117"/>
    <n v="1554651"/>
    <n v="2018362"/>
    <x v="18"/>
  </r>
  <r>
    <x v="1045"/>
    <x v="16"/>
    <s v="NET INCOME - DILUTED"/>
    <s v="K:PRAD(WC01705)~U$"/>
    <s v="IT0003874101"/>
    <s v="U$"/>
    <n v="282879"/>
    <n v="-64206"/>
    <n v="345371"/>
    <n v="466597"/>
    <n v="716380"/>
    <x v="18"/>
  </r>
  <r>
    <x v="1046"/>
    <x v="16"/>
    <s v="NET SALES OR REVENUES"/>
    <s v="K:PRAD(WC01001)~U$"/>
    <s v="IT0003874101"/>
    <s v="U$"/>
    <n v="3567225"/>
    <n v="2873249"/>
    <n v="3950347"/>
    <n v="4213348"/>
    <n v="5045866"/>
    <x v="18"/>
  </r>
  <r>
    <x v="1047"/>
    <x v="16"/>
    <s v="NON-OPERATING INTEREST INCOME"/>
    <s v="K:PRAD(WC01266)~U$"/>
    <s v="IT0003874101"/>
    <s v="U$"/>
    <n v="4573"/>
    <n v="2317"/>
    <n v="3041"/>
    <n v="6645"/>
    <n v="27826"/>
    <x v="18"/>
  </r>
  <r>
    <x v="1048"/>
    <x v="16"/>
    <s v="OPERATING EXPENSES - TOTAL"/>
    <s v="K:PRAD(WC01249)~U$"/>
    <s v="IT0003874101"/>
    <s v="U$"/>
    <n v="3227954"/>
    <n v="2849458"/>
    <n v="3375830"/>
    <n v="3435017"/>
    <n v="3912415"/>
    <x v="18"/>
  </r>
  <r>
    <x v="1049"/>
    <x v="16"/>
    <s v="OPERATING INCOME"/>
    <s v="K:PRAD(WC01250)~U$"/>
    <s v="IT0003874101"/>
    <s v="U$"/>
    <n v="339271"/>
    <n v="23791"/>
    <n v="574517"/>
    <n v="778331"/>
    <n v="1133451"/>
    <x v="18"/>
  </r>
  <r>
    <x v="1050"/>
    <x v="16"/>
    <s v="PRETAX INCOME"/>
    <s v="K:PRAD(WC01401)~U$"/>
    <s v="IT0003874101"/>
    <s v="U$"/>
    <n v="259624"/>
    <n v="-61446"/>
    <n v="494904"/>
    <n v="713120"/>
    <n v="1037124"/>
    <x v="18"/>
  </r>
  <r>
    <x v="1051"/>
    <x v="16"/>
    <s v="PROPERTY, PLANT &amp; EQUIP - NET"/>
    <s v="K:PRAD(WC02501)~U$"/>
    <s v="IT0003874101"/>
    <s v="U$"/>
    <n v="4429535"/>
    <n v="4222398"/>
    <n v="4132831"/>
    <n v="3599426"/>
    <n v="4331667"/>
    <x v="18"/>
  </r>
  <r>
    <x v="1052"/>
    <x v="16"/>
    <s v="RECEIVABLES(NET)"/>
    <s v="K:PRAD(WC02051)~U$"/>
    <s v="IT0003874101"/>
    <s v="U$"/>
    <n v="522618"/>
    <n v="535416"/>
    <n v="516903"/>
    <n v="446032"/>
    <n v="562042"/>
    <x v="18"/>
  </r>
  <r>
    <x v="1053"/>
    <x v="16"/>
    <s v="RESEARCH &amp; DEVELOPMENT"/>
    <s v="K:PRAD(WC01201)~U$"/>
    <s v="IT0003874101"/>
    <s v="U$"/>
    <n v="140869"/>
    <n v="121242"/>
    <n v="135352"/>
    <n v="137884"/>
    <n v="160796"/>
    <x v="18"/>
  </r>
  <r>
    <x v="1054"/>
    <x v="16"/>
    <s v="SELLING, GENERAL &amp; ADMINISTRAT"/>
    <s v="K:PRAD(WC01101)~U$"/>
    <s v="IT0003874101"/>
    <s v="U$"/>
    <n v="2226017"/>
    <n v="2043769"/>
    <n v="2415366"/>
    <n v="2543756"/>
    <n v="2925279"/>
    <x v="18"/>
  </r>
  <r>
    <x v="1055"/>
    <x v="16"/>
    <s v="SHORT TERM DEBT &amp; CURRENT PORT"/>
    <s v="K:PRAD(WC03051)~U$"/>
    <s v="IT0003874101"/>
    <s v="U$"/>
    <n v="719950"/>
    <n v="835111"/>
    <n v="783244"/>
    <n v="554641"/>
    <n v="597452"/>
    <x v="18"/>
  </r>
  <r>
    <x v="1056"/>
    <x v="16"/>
    <s v="TOTAL ASSETS"/>
    <s v="K:PRAD(WC02999)~U$"/>
    <s v="IT0003874101"/>
    <s v="U$"/>
    <n v="7513827"/>
    <n v="7443073"/>
    <n v="7830523"/>
    <n v="7025621"/>
    <n v="7729564"/>
    <x v="18"/>
  </r>
  <r>
    <x v="1057"/>
    <x v="16"/>
    <s v="TOTAL CAPITAL"/>
    <s v="K:PRAD(WC03998)~U$"/>
    <s v="IT0003874101"/>
    <s v="U$"/>
    <n v="6169307"/>
    <n v="5968580"/>
    <n v="6160429"/>
    <n v="5629061"/>
    <n v="6314609"/>
    <x v="18"/>
  </r>
  <r>
    <x v="1058"/>
    <x v="16"/>
    <s v="TOTAL DEBT"/>
    <s v="K:PRAD(WC03255)~U$"/>
    <s v="IT0003874101"/>
    <s v="U$"/>
    <n v="3584155"/>
    <n v="3421692"/>
    <n v="3271525"/>
    <n v="2672118"/>
    <n v="2773221"/>
    <x v="18"/>
  </r>
  <r>
    <x v="1059"/>
    <x v="16"/>
    <s v="TOTAL INTANGIBLE OT ASSETS-NET"/>
    <s v="K:PRAD(WC02649)~U$"/>
    <s v="IT0003874101"/>
    <s v="U$"/>
    <n v="933202"/>
    <n v="987239"/>
    <n v="973488"/>
    <n v="820276"/>
    <n v="903206"/>
    <x v="18"/>
  </r>
  <r>
    <x v="1060"/>
    <x v="16"/>
    <s v="TOTAL LIABILITIES"/>
    <s v="K:PRAD(WC03351)~U$"/>
    <s v="IT0003874101"/>
    <s v="U$"/>
    <n v="4208725"/>
    <n v="4061073"/>
    <n v="4158376"/>
    <n v="3514036"/>
    <n v="3590725"/>
    <x v="18"/>
  </r>
  <r>
    <x v="1061"/>
    <x v="16"/>
    <s v="TOTAL LIABILITIES &amp; SHAREHOLDE"/>
    <s v="K:PRAD(WC03999)~U$"/>
    <s v="IT0003874101"/>
    <s v="U$"/>
    <n v="7513827"/>
    <n v="7443073"/>
    <n v="7830523"/>
    <n v="7025621"/>
    <n v="7729564"/>
    <x v="18"/>
  </r>
  <r>
    <x v="1062"/>
    <x v="16"/>
    <s v="TOTAL SHAREHOLDERS EQUITY"/>
    <s v="K:PRAD(WC03995)~U$"/>
    <s v="IT0003874101"/>
    <s v="U$"/>
    <n v="3281417"/>
    <n v="3358680"/>
    <n v="3654836"/>
    <n v="3492723"/>
    <n v="4114270"/>
    <x v="18"/>
  </r>
  <r>
    <x v="1063"/>
    <x v="16"/>
    <s v="WORKING CAPITAL"/>
    <s v="K:PRAD(WC03151)~U$"/>
    <s v="IT0003874101"/>
    <s v="U$"/>
    <n v="515101"/>
    <n v="507166"/>
    <n v="880411"/>
    <n v="937721"/>
    <n v="760515"/>
    <x v="18"/>
  </r>
  <r>
    <x v="1064"/>
    <x v="16"/>
    <s v="BK VAL PS 12M FWD"/>
    <s v="K:PRAD(DIBV)~U$"/>
    <s v="IT0003874101"/>
    <s v="U$"/>
    <n v="1.33"/>
    <n v="1.39"/>
    <n v="1.44"/>
    <n v="1.38"/>
    <n v="1.71"/>
    <x v="418"/>
  </r>
  <r>
    <x v="1065"/>
    <x v="16"/>
    <s v="EV 12M FWD"/>
    <s v="K:PRAD(DIEV)~U$"/>
    <s v="IT0003874101"/>
    <s v="U$"/>
    <n v="8235800.0499999998"/>
    <n v="11369232.189999999"/>
    <n v="16978595.66"/>
    <n v="14628373.359999999"/>
    <n v="17189743.210000001"/>
    <x v="419"/>
  </r>
  <r>
    <x v="1066"/>
    <x v="16"/>
    <s v="NET INCOME 12M FWD"/>
    <s v="K:PRAD(DINI)~U$"/>
    <s v="IT0003874101"/>
    <s v="U$"/>
    <n v="282188.37"/>
    <n v="134095.44"/>
    <n v="365058.92"/>
    <n v="517398.84"/>
    <n v="783733.32"/>
    <x v="420"/>
  </r>
  <r>
    <x v="1067"/>
    <x v="16"/>
    <s v="PRETAX PRF 12M FWD"/>
    <s v="K:PRAD(DINP)~U$"/>
    <s v="IT0003874101"/>
    <s v="U$"/>
    <n v="377086.44"/>
    <n v="192791.1"/>
    <n v="529118.55000000005"/>
    <n v="750532.49"/>
    <n v="1152798.94"/>
    <x v="421"/>
  </r>
  <r>
    <x v="1068"/>
    <x v="16"/>
    <s v="ROE 12M FWD"/>
    <s v="K:PRAD(DIRE)~U$"/>
    <s v="IT0003874101"/>
    <s v="U$"/>
    <n v="9.6"/>
    <n v="4.38"/>
    <n v="11.75"/>
    <n v="15.24"/>
    <n v="19.73"/>
    <x v="422"/>
  </r>
  <r>
    <x v="1069"/>
    <x v="16"/>
    <s v="SALES 12M FWD"/>
    <s v="K:PRAD(DISL)~U$"/>
    <s v="IT0003874101"/>
    <s v="U$"/>
    <n v="3689139.41"/>
    <n v="3457345.02"/>
    <n v="4098690.81"/>
    <n v="4240583.74"/>
    <n v="5384758.1600000001"/>
    <x v="423"/>
  </r>
  <r>
    <x v="1070"/>
    <x v="16"/>
    <s v="CHANGE IN INVENTORY"/>
    <s v="K:PRAD(WC18196)~U$"/>
    <s v="IT0003874101"/>
    <s v="U$"/>
    <n v="-67705"/>
    <n v="23808"/>
    <n v="15352"/>
    <n v="-94691"/>
    <s v="NA"/>
    <x v="18"/>
  </r>
  <r>
    <x v="1071"/>
    <x v="16"/>
    <s v="DECREASE/INCREASE RECEIVABLES"/>
    <s v="K:PRAD(WC04825)~U$"/>
    <s v="IT0003874101"/>
    <s v="U$"/>
    <n v="1191"/>
    <n v="19196"/>
    <n v="-34965"/>
    <n v="-3589"/>
    <n v="-91172"/>
    <x v="18"/>
  </r>
  <r>
    <x v="1072"/>
    <x v="16"/>
    <s v="DECREASE/INCR OTH ASTS/LIABILT"/>
    <s v="K:PRAD(WC04830)~U$"/>
    <s v="IT0003874101"/>
    <s v="U$"/>
    <n v="-36557"/>
    <n v="137149"/>
    <n v="6731"/>
    <n v="-18084"/>
    <n v="-35303"/>
    <x v="18"/>
  </r>
  <r>
    <x v="1073"/>
    <x v="16"/>
    <s v="DECREASE/INCREASE INVENTORIES"/>
    <s v="K:PRAD(WC04826)~U$"/>
    <s v="IT0003874101"/>
    <s v="U$"/>
    <n v="-67150"/>
    <n v="10832"/>
    <n v="13500"/>
    <n v="-122194"/>
    <n v="-64892"/>
    <x v="18"/>
  </r>
  <r>
    <x v="1074"/>
    <x v="16"/>
    <s v="DECREASE IN INVESTMENTS"/>
    <s v="K:PRAD(WC04440)~U$"/>
    <s v="IT0003874101"/>
    <s v="U$"/>
    <n v="31047"/>
    <n v="0"/>
    <n v="89747"/>
    <n v="0"/>
    <n v="0"/>
    <x v="18"/>
  </r>
  <r>
    <x v="1075"/>
    <x v="17"/>
    <s v="MARKET VALUE"/>
    <s v="U:TJX(MV)~U$"/>
    <s v="US8725401090"/>
    <s v="U$"/>
    <n v="68026.63"/>
    <n v="67171.31"/>
    <n v="84670.75"/>
    <n v="75073.63"/>
    <n v="105186.8"/>
    <x v="424"/>
  </r>
  <r>
    <x v="1076"/>
    <x v="17"/>
    <s v="PER"/>
    <s v="U:TJX(PE)"/>
    <s v="US8725401090"/>
    <s v="U$"/>
    <n v="22.8"/>
    <n v="99.5"/>
    <n v="33.9"/>
    <n v="23.1"/>
    <n v="27"/>
    <x v="101"/>
  </r>
  <r>
    <x v="1077"/>
    <x v="17"/>
    <s v="12MTH FORWARD EPS"/>
    <s v="U:TJX(EPS1FD12)~U$"/>
    <s v="US8725401090"/>
    <s v="U$"/>
    <n v="2.754"/>
    <n v="1.7330000000000001"/>
    <n v="3.2429999999999999"/>
    <n v="3.36"/>
    <n v="3.9529999999999998"/>
    <x v="425"/>
  </r>
  <r>
    <x v="1078"/>
    <x v="5"/>
    <e v="#VALUE!"/>
    <s v="529E(U:TJX)"/>
    <s v="US8725401090"/>
    <s v="U$"/>
    <n v="5.3550000000000004"/>
    <n v="3.024"/>
    <n v="4.6680000000000001"/>
    <n v="5.2210000000000001"/>
    <n v="4.2549999999999999"/>
    <x v="426"/>
  </r>
  <r>
    <x v="1078"/>
    <x v="5"/>
    <e v="#VALUE!"/>
    <s v="384E(U:TJX)"/>
    <s v="US8725401090"/>
    <s v="U$"/>
    <n v="14.99"/>
    <n v="21.14"/>
    <n v="15.186999999999999"/>
    <n v="13.925000000000001"/>
    <n v="17.14"/>
    <x v="427"/>
  </r>
  <r>
    <x v="1078"/>
    <x v="5"/>
    <e v="#VALUE!"/>
    <s v="380E(U:TJX)"/>
    <s v="US8725401090"/>
    <s v="U$"/>
    <n v="12.449"/>
    <n v="16.126000000000001"/>
    <n v="12.823"/>
    <n v="11.722"/>
    <n v="14.602"/>
    <x v="428"/>
  </r>
  <r>
    <x v="1078"/>
    <x v="5"/>
    <e v="#VALUE!"/>
    <s v="157E(U:TJX)"/>
    <s v="US8725401090"/>
    <s v="U$"/>
    <n v="4.157"/>
    <n v="3.1417000000000002"/>
    <n v="3.4228000000000001"/>
    <n v="3.3302"/>
    <n v="3.2810999999999999"/>
    <x v="429"/>
  </r>
  <r>
    <x v="1078"/>
    <x v="5"/>
    <e v="#VALUE!"/>
    <s v="388E(U:TJX)"/>
    <s v="US8725401090"/>
    <s v="U$"/>
    <n v="1.5669999999999999"/>
    <n v="1.639"/>
    <n v="1.6220000000000001"/>
    <n v="1.409"/>
    <n v="1.8440000000000001"/>
    <x v="430"/>
  </r>
  <r>
    <x v="1078"/>
    <x v="5"/>
    <e v="#VALUE!"/>
    <s v="334E(U:TJX)"/>
    <s v="US8725401090"/>
    <s v="U$"/>
    <n v="0.51500000000000001"/>
    <n v="1.105"/>
    <n v="0.22900000000000001"/>
    <n v="0.997"/>
    <n v="0.61399999999999999"/>
    <x v="431"/>
  </r>
  <r>
    <x v="1078"/>
    <x v="5"/>
    <e v="#VALUE!"/>
    <s v="338E(U:TJX)"/>
    <s v="US8725401090"/>
    <s v="U$"/>
    <n v="4.2000000000000003E-2"/>
    <n v="6.4000000000000001E-2"/>
    <n v="1.6E-2"/>
    <n v="7.5999999999999998E-2"/>
    <n v="4.2000000000000003E-2"/>
    <x v="432"/>
  </r>
  <r>
    <x v="1078"/>
    <x v="5"/>
    <e v="#VALUE!"/>
    <s v="251E(U:TJX)"/>
    <s v="US8725401090"/>
    <s v="U$"/>
    <n v="1.1100000000000001"/>
    <n v="1.48"/>
    <n v="0.98"/>
    <n v="1.1299999999999999"/>
    <n v="1.26"/>
    <x v="144"/>
  </r>
  <r>
    <x v="1078"/>
    <x v="5"/>
    <e v="#VALUE!"/>
    <s v="250E(U:TJX)"/>
    <s v="US8725401090"/>
    <s v="U$"/>
    <n v="0.69"/>
    <n v="0.88"/>
    <n v="0.68"/>
    <n v="0.68"/>
    <n v="0.82"/>
    <x v="433"/>
  </r>
  <r>
    <x v="1078"/>
    <x v="5"/>
    <e v="#VALUE!"/>
    <s v="553E(U:TJX)"/>
    <s v="US8725401090"/>
    <s v="U$"/>
    <n v="12.7814"/>
    <n v="10.1547"/>
    <n v="11.7677"/>
    <n v="11.871499999999999"/>
    <n v="13.146800000000001"/>
    <x v="434"/>
  </r>
  <r>
    <x v="1079"/>
    <x v="17"/>
    <s v="12MTH TRAILING EPS"/>
    <s v="U:TJX(EPS1TR12)~U$"/>
    <s v="US8725401090"/>
    <s v="U$"/>
    <n v="2.5409999999999999"/>
    <n v="0.997"/>
    <n v="2.0699999999999998"/>
    <n v="3.0169999999999999"/>
    <n v="3.5169999999999999"/>
    <x v="435"/>
  </r>
  <r>
    <x v="1080"/>
    <x v="17"/>
    <s v="DIV.PER SHR."/>
    <s v="U:TJX(DPS)~U$"/>
    <s v="US8725401090"/>
    <s v="U$"/>
    <n v="0.92"/>
    <n v="0"/>
    <n v="1.04"/>
    <n v="1.18"/>
    <n v="1.33"/>
    <x v="436"/>
  </r>
  <r>
    <x v="1078"/>
    <x v="5"/>
    <e v="#VALUE!"/>
    <s v="354E(U:TJX)"/>
    <s v="US8725401090"/>
    <s v="U$"/>
    <n v="1.94"/>
    <n v="1.3029999999999999"/>
    <n v="1.6020000000000001"/>
    <n v="1.927"/>
    <n v="1.5029999999999999"/>
    <x v="356"/>
  </r>
  <r>
    <x v="1077"/>
    <x v="17"/>
    <s v="12MTH FORWARD EPS"/>
    <s v="U:TJX(EPS1FD12)~U$"/>
    <s v="US8725401090"/>
    <s v="U$"/>
    <n v="2.754"/>
    <n v="1.7330000000000001"/>
    <n v="3.2429999999999999"/>
    <n v="3.36"/>
    <n v="3.9529999999999998"/>
    <x v="425"/>
  </r>
  <r>
    <x v="1076"/>
    <x v="17"/>
    <s v="PER"/>
    <s v="U:TJX(PE)"/>
    <s v="US8725401090"/>
    <s v="U$"/>
    <n v="22.8"/>
    <n v="99.5"/>
    <n v="33.9"/>
    <n v="23.1"/>
    <n v="27"/>
    <x v="101"/>
  </r>
  <r>
    <x v="1075"/>
    <x v="17"/>
    <s v="MARKET VALUE"/>
    <s v="U:TJX(MV)~U$"/>
    <s v="US8725401090"/>
    <s v="U$"/>
    <n v="68026.63"/>
    <n v="67171.31"/>
    <n v="84670.75"/>
    <n v="75073.63"/>
    <n v="105186.8"/>
    <x v="424"/>
  </r>
  <r>
    <x v="1081"/>
    <x v="17"/>
    <s v="EARNINGS PER SHR"/>
    <s v="U:TJX(EPS)~U$"/>
    <s v="US8725401090"/>
    <s v="U$"/>
    <n v="2.4700000000000002"/>
    <n v="0.56000000000000005"/>
    <n v="2.0699999999999998"/>
    <n v="2.8"/>
    <n v="3.4"/>
    <x v="437"/>
  </r>
  <r>
    <x v="1078"/>
    <x v="5"/>
    <e v="#VALUE!"/>
    <s v="897E(U:TJX)"/>
    <s v="US8725401090"/>
    <s v="NA"/>
    <n v="0.83860000000000001"/>
    <n v="1.1882999999999999"/>
    <n v="1.2209000000000001"/>
    <n v="1.1313"/>
    <n v="1.1077999999999999"/>
    <x v="438"/>
  </r>
  <r>
    <x v="1078"/>
    <x v="5"/>
    <e v="#VALUE!"/>
    <s v="400E(U:TJX)"/>
    <s v="US8725401090"/>
    <s v="NA"/>
    <n v="0.17080000000000001"/>
    <n v="0.27300000000000002"/>
    <n v="0.28039999999999998"/>
    <n v="0.2974"/>
    <n v="0.30030000000000001"/>
    <x v="439"/>
  </r>
  <r>
    <x v="1082"/>
    <x v="17"/>
    <s v="ACCOUNTS PAYABLE"/>
    <s v="U:TJX(WC03040)~U$"/>
    <s v="US8725401090"/>
    <s v="U$"/>
    <n v="2672557"/>
    <n v="4823397"/>
    <n v="4465427"/>
    <n v="3794000"/>
    <n v="3862000"/>
    <x v="18"/>
  </r>
  <r>
    <x v="1083"/>
    <x v="17"/>
    <s v="AMORT &amp; IMPAIR OF GOODWILL"/>
    <s v="U:TJX(WC18224)~U$"/>
    <s v="US8725401090"/>
    <s v="U$"/>
    <n v="0"/>
    <s v="NA"/>
    <s v="NA"/>
    <s v="NA"/>
    <s v="NA"/>
    <x v="18"/>
  </r>
  <r>
    <x v="1084"/>
    <x v="17"/>
    <s v="BOOK VALUE-OUT SHARES-FISCAL"/>
    <s v="U:TJX(WC05491)~U$"/>
    <s v="US8725401090"/>
    <s v="U$"/>
    <n v="4.9610000000000003"/>
    <n v="4.8419999999999996"/>
    <n v="5.0819999999999999"/>
    <n v="5.508"/>
    <n v="6.4409999999999998"/>
    <x v="18"/>
  </r>
  <r>
    <x v="1085"/>
    <x v="17"/>
    <s v="BOOK VALUE PER SHARE"/>
    <s v="U:TJX(WC05476)~U$"/>
    <s v="US8725401090"/>
    <s v="U$"/>
    <n v="4.9610000000000003"/>
    <n v="4.8419999999999996"/>
    <n v="5.0819999999999999"/>
    <n v="5.508"/>
    <n v="6.4409999999999998"/>
    <x v="18"/>
  </r>
  <r>
    <x v="1086"/>
    <x v="17"/>
    <s v="CAPITAL EXPENDITURES"/>
    <s v="U:TJX(WC04601)~U$"/>
    <s v="US8725401090"/>
    <s v="U$"/>
    <n v="1223116"/>
    <n v="568021"/>
    <n v="1044794"/>
    <n v="1457000"/>
    <n v="1722000"/>
    <x v="18"/>
  </r>
  <r>
    <x v="1087"/>
    <x v="17"/>
    <s v="CASH"/>
    <s v="U:TJX(WC02003)~U$"/>
    <s v="US8725401090"/>
    <s v="U$"/>
    <n v="3216752"/>
    <n v="10469570"/>
    <n v="6226765"/>
    <n v="5477000"/>
    <n v="5600000"/>
    <x v="18"/>
  </r>
  <r>
    <x v="1088"/>
    <x v="17"/>
    <s v="CASH - GENERIC"/>
    <s v="U:TJX(WC02005)~U$"/>
    <s v="US8725401090"/>
    <s v="U$"/>
    <n v="3223992"/>
    <n v="10469600"/>
    <n v="6226800"/>
    <n v="5477000"/>
    <n v="5600000"/>
    <x v="18"/>
  </r>
  <r>
    <x v="1089"/>
    <x v="17"/>
    <s v="CASH &amp; SHORT TERM INVESTMENTS"/>
    <s v="U:TJX(WC02001)~U$"/>
    <s v="US8725401090"/>
    <s v="U$"/>
    <n v="3223992"/>
    <n v="10469570"/>
    <n v="6226765"/>
    <n v="5477000"/>
    <n v="5600000"/>
    <x v="18"/>
  </r>
  <r>
    <x v="1090"/>
    <x v="17"/>
    <s v="CASH DIVIDENDS PAID - TOTAL"/>
    <s v="U:TJX(WC04551)~U$"/>
    <s v="US8725401090"/>
    <s v="U$"/>
    <n v="1071562"/>
    <n v="278256"/>
    <n v="1251833"/>
    <n v="1339000"/>
    <n v="1484000"/>
    <x v="18"/>
  </r>
  <r>
    <x v="1091"/>
    <x v="17"/>
    <s v="CASH FLOW PER SHARE"/>
    <s v="U:TJX(WC05501)~U$"/>
    <s v="US8725401090"/>
    <s v="U$"/>
    <n v="3.4329999999999998"/>
    <n v="0.94"/>
    <n v="3.7269999999999999"/>
    <n v="4.1639999999999997"/>
    <n v="4.84"/>
    <x v="18"/>
  </r>
  <r>
    <x v="1092"/>
    <x v="17"/>
    <s v="CASH FLOW PER SHARE - FIS YR"/>
    <s v="U:TJX(WC05502)~U$"/>
    <s v="US8725401090"/>
    <s v="U$"/>
    <n v="3.4329999999999998"/>
    <n v="0.94"/>
    <n v="3.7269999999999999"/>
    <n v="4.1639999999999997"/>
    <n v="4.84"/>
    <x v="18"/>
  </r>
  <r>
    <x v="1093"/>
    <x v="17"/>
    <s v="COMMON DIVIDENDS (CASH)"/>
    <s v="U:TJX(WC05376)~U$"/>
    <s v="US8725401090"/>
    <s v="U$"/>
    <n v="1071562"/>
    <n v="278256"/>
    <n v="1251833"/>
    <n v="1339000"/>
    <n v="1484000"/>
    <x v="18"/>
  </r>
  <r>
    <x v="1094"/>
    <x v="17"/>
    <s v="COMMON SHAREHOLDERS' EQUITY"/>
    <s v="U:TJX(WC03501)~U$"/>
    <s v="US8725401090"/>
    <s v="U$"/>
    <n v="5948212"/>
    <n v="5832684"/>
    <n v="6002992"/>
    <n v="6364000"/>
    <n v="7302000"/>
    <x v="18"/>
  </r>
  <r>
    <x v="1095"/>
    <x v="17"/>
    <s v="COMMON STOCK"/>
    <s v="U:TJX(WC03480)~U$"/>
    <s v="US8725401090"/>
    <s v="U$"/>
    <n v="1199100"/>
    <n v="1204698"/>
    <n v="1181189"/>
    <n v="1155000"/>
    <n v="1134000"/>
    <x v="18"/>
  </r>
  <r>
    <x v="1096"/>
    <x v="17"/>
    <s v="COST OF GOODS SOLD (EXCL DEP)"/>
    <s v="U:TJX(WC01051)~U$"/>
    <s v="US8725401090"/>
    <s v="U$"/>
    <n v="28976234"/>
    <n v="23663057"/>
    <n v="33845810"/>
    <n v="35262000"/>
    <n v="36987000"/>
    <x v="18"/>
  </r>
  <r>
    <x v="1097"/>
    <x v="17"/>
    <s v="CURRENT ASSETS - TOTAL"/>
    <s v="U:TJX(WC02201)~U$"/>
    <s v="US8725401090"/>
    <s v="U$"/>
    <n v="8890622"/>
    <n v="15739337"/>
    <n v="13258597"/>
    <n v="12456000"/>
    <n v="12664000"/>
    <x v="18"/>
  </r>
  <r>
    <x v="1098"/>
    <x v="17"/>
    <s v="CURRENT LIABILITIES-TOTAL"/>
    <s v="U:TJX(WC03101)~U$"/>
    <s v="US8725401090"/>
    <s v="U$"/>
    <n v="7150247"/>
    <n v="10803668"/>
    <n v="10468140"/>
    <n v="10305000"/>
    <n v="10451000"/>
    <x v="18"/>
  </r>
  <r>
    <x v="1099"/>
    <x v="17"/>
    <s v="DEFERRED TAXES"/>
    <s v="U:TJX(WC03263)~U$"/>
    <s v="US8725401090"/>
    <s v="U$"/>
    <n v="130038"/>
    <n v="-90027"/>
    <n v="-140796"/>
    <n v="-31000"/>
    <n v="-24000"/>
    <x v="18"/>
  </r>
  <r>
    <x v="1100"/>
    <x v="17"/>
    <s v="DEPRECIATION AND DEPLETION"/>
    <s v="U:TJX(WC04049)~U$"/>
    <s v="US8725401090"/>
    <s v="U$"/>
    <n v="867303"/>
    <n v="870758"/>
    <n v="868002"/>
    <n v="887000"/>
    <n v="964000"/>
    <x v="18"/>
  </r>
  <r>
    <x v="1101"/>
    <x v="17"/>
    <s v="DEPRECIATION/DEPLETION/AMORT"/>
    <s v="U:TJX(WC01151)~U$"/>
    <s v="US8725401090"/>
    <s v="U$"/>
    <n v="867303"/>
    <n v="870758"/>
    <n v="868002"/>
    <n v="887000"/>
    <n v="964000"/>
    <x v="18"/>
  </r>
  <r>
    <x v="1102"/>
    <x v="17"/>
    <s v="DIVIDENDS PER SHARE"/>
    <s v="U:TJX(WC05101)~U$"/>
    <s v="US8725401090"/>
    <s v="U$"/>
    <n v="0.92"/>
    <n v="0.26"/>
    <n v="1.04"/>
    <n v="1.18"/>
    <n v="1.33"/>
    <x v="18"/>
  </r>
  <r>
    <x v="1103"/>
    <x v="17"/>
    <s v="DIVIDENDS PER SHARE - FISCAL"/>
    <s v="U:TJX(WC05110)~U$"/>
    <s v="US8725401090"/>
    <s v="U$"/>
    <n v="0.92"/>
    <n v="0.26"/>
    <n v="1.04"/>
    <n v="1.18"/>
    <n v="1.33"/>
    <x v="18"/>
  </r>
  <r>
    <x v="1104"/>
    <x v="17"/>
    <s v="EARNINGS BEF INTEREST &amp; TAXES"/>
    <s v="U:TJX(WC18191)~U$"/>
    <s v="US8725401090"/>
    <s v="U$"/>
    <n v="4465309"/>
    <n v="283263"/>
    <n v="4516684"/>
    <n v="4720000"/>
    <n v="6046000"/>
    <x v="18"/>
  </r>
  <r>
    <x v="1105"/>
    <x v="17"/>
    <s v="EBIT &amp; DEPRECIATION"/>
    <s v="U:TJX(WC18198)~U$"/>
    <s v="US8725401090"/>
    <s v="U$"/>
    <n v="5332612"/>
    <n v="1154021"/>
    <n v="5384686"/>
    <n v="5607000"/>
    <n v="7010000"/>
    <x v="18"/>
  </r>
  <r>
    <x v="1106"/>
    <x v="17"/>
    <s v="EARNINGS PER SHARE"/>
    <s v="U:TJX(WC05201)~U$"/>
    <s v="US8725401090"/>
    <s v="U$"/>
    <n v="2.6680000000000001"/>
    <n v="7.3999999999999996E-2"/>
    <n v="2.7010000000000001"/>
    <n v="2.9689999999999999"/>
    <n v="3.86"/>
    <x v="18"/>
  </r>
  <r>
    <x v="1107"/>
    <x v="17"/>
    <s v="FISCAL EPS-FULLY DILUTED-YR"/>
    <s v="U:TJX(WC10030)~U$"/>
    <s v="US8725401090"/>
    <s v="U$"/>
    <n v="2.6680000000000001"/>
    <n v="7.3999999999999996E-2"/>
    <n v="2.7010000000000001"/>
    <n v="2.9689999999999999"/>
    <n v="3.86"/>
    <x v="18"/>
  </r>
  <r>
    <x v="1108"/>
    <x v="17"/>
    <s v="ENTERPRISE VALUE"/>
    <s v="U:TJX(WC18100)~U$"/>
    <s v="US8725401090"/>
    <s v="U$"/>
    <n v="69807458"/>
    <n v="72761868"/>
    <n v="81441252"/>
    <n v="92500810"/>
    <n v="107798024"/>
    <x v="18"/>
  </r>
  <r>
    <x v="1109"/>
    <x v="17"/>
    <s v="GROSS INCOME"/>
    <s v="U:TJX(WC01100)~U$"/>
    <s v="US8725401090"/>
    <s v="U$"/>
    <n v="11873440"/>
    <n v="7603147"/>
    <n v="13836170"/>
    <n v="13787000"/>
    <n v="16266000"/>
    <x v="18"/>
  </r>
  <r>
    <x v="1110"/>
    <x v="17"/>
    <s v="IMPAIRMENT OF GOODWILL"/>
    <s v="U:TJX(WC18225)~U$"/>
    <s v="US8725401090"/>
    <s v="U$"/>
    <n v="0"/>
    <s v="NA"/>
    <s v="NA"/>
    <s v="NA"/>
    <s v="NA"/>
    <x v="18"/>
  </r>
  <r>
    <x v="1111"/>
    <x v="17"/>
    <s v="INCOME TAXES"/>
    <s v="U:TJX(WC01451)~U$"/>
    <s v="US8725401090"/>
    <s v="U$"/>
    <n v="1133990"/>
    <n v="-1207"/>
    <n v="1114793"/>
    <n v="1138000"/>
    <n v="1493000"/>
    <x v="18"/>
  </r>
  <r>
    <x v="1112"/>
    <x v="17"/>
    <s v="INCREASE/DECREASE IN CASH/SHOR"/>
    <s v="U:TJX(WC04851)~U$"/>
    <s v="US8725401090"/>
    <s v="U$"/>
    <n v="186523"/>
    <n v="7252818"/>
    <n v="-4242805"/>
    <n v="-750000"/>
    <n v="123000"/>
    <x v="18"/>
  </r>
  <r>
    <x v="1113"/>
    <x v="17"/>
    <s v="INTEREST EXPENSE ON DEBT"/>
    <s v="U:TJX(WC01251)~U$"/>
    <s v="US8725401090"/>
    <s v="U$"/>
    <n v="61426"/>
    <n v="199000"/>
    <n v="123076"/>
    <n v="91000"/>
    <n v="82000"/>
    <x v="18"/>
  </r>
  <r>
    <x v="1114"/>
    <x v="17"/>
    <s v="TOTAL INVENTORIES"/>
    <s v="U:TJX(WC02101)~U$"/>
    <s v="US8725401090"/>
    <s v="U$"/>
    <n v="4872592"/>
    <n v="4337389"/>
    <n v="5961573"/>
    <n v="5819000"/>
    <n v="5965000"/>
    <x v="18"/>
  </r>
  <r>
    <x v="1115"/>
    <x v="17"/>
    <s v="LONG TERM DEBT"/>
    <s v="U:TJX(WC03251)~U$"/>
    <s v="US8725401090"/>
    <s v="U$"/>
    <n v="2236625"/>
    <n v="5332900"/>
    <n v="3354841"/>
    <n v="2859000"/>
    <n v="2862000"/>
    <x v="18"/>
  </r>
  <r>
    <x v="1116"/>
    <x v="17"/>
    <s v="MARKET CAPITALIZATION"/>
    <s v="U:TJX(WC08001)~U$"/>
    <s v="US8725401090"/>
    <s v="U$"/>
    <n v="73217032"/>
    <n v="82268835"/>
    <n v="89675848"/>
    <n v="91972857"/>
    <n v="106341754"/>
    <x v="18"/>
  </r>
  <r>
    <x v="1117"/>
    <x v="17"/>
    <s v="NET CASH FLOW - FINANCING"/>
    <s v="U:TJX(WC04890)~U$"/>
    <s v="US8725401090"/>
    <s v="U$"/>
    <n v="-2414871"/>
    <n v="3228262"/>
    <n v="-6199758"/>
    <n v="-3306000"/>
    <n v="-4215000"/>
    <x v="18"/>
  </r>
  <r>
    <x v="1118"/>
    <x v="17"/>
    <s v="NET CASH FLOW - INVESTING"/>
    <s v="U:TJX(WC04870)~U$"/>
    <s v="US8725401090"/>
    <s v="U$"/>
    <n v="1461971"/>
    <n v="578597"/>
    <n v="1046386"/>
    <n v="1470000"/>
    <n v="1717000"/>
    <x v="18"/>
  </r>
  <r>
    <x v="1119"/>
    <x v="17"/>
    <s v="NET CASH FLOW-OPERATING ACTIVS"/>
    <s v="U:TJX(WC04860)~U$"/>
    <s v="US8725401090"/>
    <s v="U$"/>
    <n v="4066540"/>
    <n v="4561889"/>
    <n v="3057485"/>
    <n v="4084000"/>
    <n v="6057000"/>
    <x v="18"/>
  </r>
  <r>
    <x v="1120"/>
    <x v="17"/>
    <s v="NET DEBT"/>
    <s v="U:TJX(WC18199)~U$"/>
    <s v="US8725401090"/>
    <s v="U$"/>
    <n v="-987392"/>
    <n v="-4387000"/>
    <n v="-2872000"/>
    <n v="-2118000"/>
    <n v="-2738000"/>
    <x v="18"/>
  </r>
  <r>
    <x v="1121"/>
    <x v="17"/>
    <s v="NET INCOME - DILUTED"/>
    <s v="U:TJX(WC01705)~U$"/>
    <s v="US8725401090"/>
    <s v="U$"/>
    <n v="3272193"/>
    <n v="90470"/>
    <n v="3282815"/>
    <n v="3498000"/>
    <n v="4474000"/>
    <x v="18"/>
  </r>
  <r>
    <x v="1122"/>
    <x v="17"/>
    <s v="NET SALES OR REVENUES"/>
    <s v="U:TJX(WC01001)~U$"/>
    <s v="US8725401090"/>
    <s v="U$"/>
    <n v="41716977"/>
    <n v="32136962"/>
    <n v="48549982"/>
    <n v="49936000"/>
    <n v="54217000"/>
    <x v="18"/>
  </r>
  <r>
    <x v="1123"/>
    <x v="17"/>
    <s v="NON-OPERATING INTEREST INCOME"/>
    <s v="U:TJX(WC01266)~U$"/>
    <s v="US8725401090"/>
    <s v="U$"/>
    <n v="49100"/>
    <n v="13266"/>
    <n v="4000"/>
    <n v="78000"/>
    <n v="249000"/>
    <x v="18"/>
  </r>
  <r>
    <x v="1124"/>
    <x v="17"/>
    <s v="OPERATING EXPENSES - TOTAL"/>
    <s v="U:TJX(WC01249)~U$"/>
    <s v="US8725401090"/>
    <s v="U$"/>
    <n v="37290480"/>
    <n v="31554732"/>
    <n v="43795050"/>
    <n v="45076000"/>
    <n v="48420000"/>
    <x v="18"/>
  </r>
  <r>
    <x v="1125"/>
    <x v="17"/>
    <s v="OPERATING INCOME"/>
    <s v="U:TJX(WC01250)~U$"/>
    <s v="US8725401090"/>
    <s v="U$"/>
    <n v="4426497"/>
    <n v="582230"/>
    <n v="4754932"/>
    <n v="4860000"/>
    <n v="5797000"/>
    <x v="18"/>
  </r>
  <r>
    <x v="1126"/>
    <x v="17"/>
    <s v="PRETAX INCOME"/>
    <s v="U:TJX(WC01401)~U$"/>
    <s v="US8725401090"/>
    <s v="U$"/>
    <n v="4406183"/>
    <n v="89263"/>
    <n v="4397608"/>
    <n v="4636000"/>
    <n v="5967000"/>
    <x v="18"/>
  </r>
  <r>
    <x v="1127"/>
    <x v="17"/>
    <s v="PROPERTY, PLANT &amp; EQUIP - NET"/>
    <s v="U:TJX(WC02501)~U$"/>
    <s v="US8725401090"/>
    <s v="U$"/>
    <n v="14385380"/>
    <n v="14026094"/>
    <n v="14124761"/>
    <n v="14869000"/>
    <n v="15967000"/>
    <x v="18"/>
  </r>
  <r>
    <x v="1128"/>
    <x v="17"/>
    <s v="RECEIVABLES(NET)"/>
    <s v="U:TJX(WC02051)~U$"/>
    <s v="US8725401090"/>
    <s v="U$"/>
    <n v="386261"/>
    <n v="497401"/>
    <n v="632160"/>
    <n v="682000"/>
    <n v="588000"/>
    <x v="18"/>
  </r>
  <r>
    <x v="1129"/>
    <x v="17"/>
    <s v="SELLING, GENERAL &amp; ADMINISTRAT"/>
    <s v="U:TJX(WC01101)~U$"/>
    <s v="US8725401090"/>
    <s v="U$"/>
    <n v="7446943"/>
    <n v="7020917"/>
    <n v="9081238"/>
    <n v="8927000"/>
    <n v="10469000"/>
    <x v="18"/>
  </r>
  <r>
    <x v="1130"/>
    <x v="17"/>
    <s v="SHORT TERM DEBT &amp; CURRENT PORT"/>
    <s v="U:TJX(WC03051)~U$"/>
    <s v="US8725401090"/>
    <s v="U$"/>
    <n v="0"/>
    <n v="749684"/>
    <n v="0"/>
    <n v="500000"/>
    <n v="0"/>
    <x v="18"/>
  </r>
  <r>
    <x v="1131"/>
    <x v="17"/>
    <s v="TOTAL ASSETS"/>
    <s v="U:TJX(WC02999)~U$"/>
    <s v="US8725401090"/>
    <s v="U$"/>
    <n v="24132871"/>
    <n v="30686364"/>
    <n v="28276487"/>
    <n v="28191000"/>
    <n v="29575000"/>
    <x v="18"/>
  </r>
  <r>
    <x v="1132"/>
    <x v="17"/>
    <s v="TOTAL CAPITAL"/>
    <s v="U:TJX(WC03998)~U$"/>
    <s v="US8725401090"/>
    <s v="U$"/>
    <n v="8184837"/>
    <n v="11165605"/>
    <n v="9357833"/>
    <n v="9223000"/>
    <n v="10164000"/>
    <x v="18"/>
  </r>
  <r>
    <x v="1133"/>
    <x v="17"/>
    <s v="TOTAL DEBT"/>
    <s v="U:TJX(WC03255)~U$"/>
    <s v="US8725401090"/>
    <s v="U$"/>
    <n v="2236600"/>
    <n v="6082600"/>
    <n v="3354800"/>
    <n v="3359000"/>
    <n v="2862000"/>
    <x v="18"/>
  </r>
  <r>
    <x v="1134"/>
    <x v="17"/>
    <s v="TOTAL INTANGIBLE OT ASSETS-NET"/>
    <s v="U:TJX(WC02649)~U$"/>
    <s v="US8725401090"/>
    <s v="U$"/>
    <n v="95546"/>
    <n v="98998"/>
    <n v="96662"/>
    <n v="97000"/>
    <n v="95000"/>
    <x v="18"/>
  </r>
  <r>
    <x v="1135"/>
    <x v="17"/>
    <s v="TOTAL LIABILITIES"/>
    <s v="U:TJX(WC03351)~U$"/>
    <s v="US8725401090"/>
    <s v="U$"/>
    <n v="18184659"/>
    <n v="24853680"/>
    <n v="22273495"/>
    <n v="21827000"/>
    <n v="22273000"/>
    <x v="18"/>
  </r>
  <r>
    <x v="1136"/>
    <x v="17"/>
    <s v="TOTAL LIABILITIES &amp; SHAREHOLDE"/>
    <s v="U:TJX(WC03999)~U$"/>
    <s v="US8725401090"/>
    <s v="U$"/>
    <n v="24132871"/>
    <n v="30686364"/>
    <n v="28276487"/>
    <n v="28191000"/>
    <n v="29575000"/>
    <x v="18"/>
  </r>
  <r>
    <x v="1137"/>
    <x v="17"/>
    <s v="TOTAL SHAREHOLDERS EQUITY"/>
    <s v="U:TJX(WC03995)~U$"/>
    <s v="US8725401090"/>
    <s v="U$"/>
    <n v="5948200"/>
    <n v="5832700"/>
    <n v="6003000"/>
    <n v="6364000"/>
    <n v="7302000"/>
    <x v="18"/>
  </r>
  <r>
    <x v="1138"/>
    <x v="17"/>
    <s v="WORKING CAPITAL"/>
    <s v="U:TJX(WC03151)~U$"/>
    <s v="US8725401090"/>
    <s v="U$"/>
    <n v="1740400"/>
    <n v="4935600"/>
    <n v="2790500"/>
    <n v="2151000"/>
    <n v="2213000"/>
    <x v="18"/>
  </r>
  <r>
    <x v="1139"/>
    <x v="17"/>
    <s v="BK VAL PS 12M FWD"/>
    <s v="U:TJX(DIBV)~U$"/>
    <s v="US8725401090"/>
    <s v="U$"/>
    <n v="4.4000000000000004"/>
    <n v="5.52"/>
    <n v="5.98"/>
    <n v="5.45"/>
    <n v="6.99"/>
    <x v="167"/>
  </r>
  <r>
    <x v="1140"/>
    <x v="17"/>
    <s v="EV 12M FWD"/>
    <s v="U:TJX(DIEV)~U$"/>
    <s v="US8725401090"/>
    <s v="U$"/>
    <n v="66175440"/>
    <n v="67372750"/>
    <n v="89092620"/>
    <n v="81143310"/>
    <n v="103287500"/>
    <x v="440"/>
  </r>
  <r>
    <x v="1141"/>
    <x v="17"/>
    <s v="NET INCOME 12M FWD"/>
    <s v="U:TJX(DINI)~U$"/>
    <s v="US8725401090"/>
    <s v="U$"/>
    <n v="3308942"/>
    <n v="2091167"/>
    <n v="3938504"/>
    <n v="3891737"/>
    <n v="4520602"/>
    <x v="441"/>
  </r>
  <r>
    <x v="1142"/>
    <x v="17"/>
    <s v="PRETAX PRF 12M FWD"/>
    <s v="U:TJX(DINP)~U$"/>
    <s v="US8725401090"/>
    <s v="U$"/>
    <n v="4468441"/>
    <n v="2806603"/>
    <n v="5298949"/>
    <n v="5212074"/>
    <n v="6097859"/>
    <x v="442"/>
  </r>
  <r>
    <x v="1143"/>
    <x v="17"/>
    <s v="ROE 12M FWD"/>
    <s v="U:TJX(DIRE)~U$"/>
    <s v="US8725401090"/>
    <s v="U$"/>
    <n v="63.26"/>
    <n v="32.94"/>
    <n v="55.95"/>
    <n v="64.53"/>
    <n v="60.7"/>
    <x v="443"/>
  </r>
  <r>
    <x v="1144"/>
    <x v="17"/>
    <s v="SALES 12M FWD"/>
    <s v="U:TJX(DISL)~U$"/>
    <s v="US8725401090"/>
    <s v="U$"/>
    <n v="42768460"/>
    <n v="38305010"/>
    <n v="50422830"/>
    <n v="51767170"/>
    <n v="55560740"/>
    <x v="444"/>
  </r>
  <r>
    <x v="1145"/>
    <x v="17"/>
    <s v="DECREASE/INCREASE RECEIVABLES"/>
    <s v="U:TJX(WC04825)~U$"/>
    <s v="US8725401090"/>
    <s v="U$"/>
    <n v="-42998"/>
    <n v="-60384"/>
    <n v="-139727"/>
    <n v="-56000"/>
    <n v="97000"/>
    <x v="18"/>
  </r>
  <r>
    <x v="1146"/>
    <x v="17"/>
    <s v="DECREASE/INCR OTH ASTS/LIABILT"/>
    <s v="U:TJX(WC04830)~U$"/>
    <s v="US8725401090"/>
    <s v="U$"/>
    <n v="-51261"/>
    <n v="-57450"/>
    <n v="32563"/>
    <n v="-73000"/>
    <n v="-40000"/>
    <x v="18"/>
  </r>
  <r>
    <x v="1147"/>
    <x v="17"/>
    <s v="DECREASE/INCREASE INVENTORIES"/>
    <s v="U:TJX(WC04826)~U$"/>
    <s v="US8725401090"/>
    <s v="U$"/>
    <n v="-296541"/>
    <n v="588756"/>
    <n v="-1657753"/>
    <n v="58000"/>
    <n v="-145000"/>
    <x v="18"/>
  </r>
  <r>
    <x v="1148"/>
    <x v="17"/>
    <s v="DECREASE IN INVESTMENTS"/>
    <s v="U:TJX(WC04440)~U$"/>
    <s v="US8725401090"/>
    <s v="U$"/>
    <n v="12720"/>
    <n v="18524"/>
    <n v="20296"/>
    <n v="18000"/>
    <n v="33000"/>
    <x v="18"/>
  </r>
  <r>
    <x v="1149"/>
    <x v="18"/>
    <s v="MARKET VALUE"/>
    <s v="U:GAP(MV)~U$"/>
    <s v="US3647601083"/>
    <s v="U$"/>
    <n v="6741.63"/>
    <n v="6272.62"/>
    <n v="9158.16"/>
    <n v="3316.91"/>
    <n v="3746.89"/>
    <x v="445"/>
  </r>
  <r>
    <x v="1150"/>
    <x v="18"/>
    <s v="PER"/>
    <s v="U:GAP(PE)"/>
    <s v="US3647601083"/>
    <s v="U$"/>
    <n v="7.1"/>
    <s v="NA"/>
    <n v="14.7"/>
    <s v="NA"/>
    <n v="35.299999999999997"/>
    <x v="446"/>
  </r>
  <r>
    <x v="1151"/>
    <x v="18"/>
    <s v="12MTH FORWARD EPS"/>
    <s v="U:GAP(EPS1FD12)~U$"/>
    <s v="US3647601083"/>
    <s v="U$"/>
    <n v="2.101"/>
    <n v="3.3000000000000002E-2"/>
    <n v="2.4129999999999998"/>
    <n v="0.38300000000000001"/>
    <n v="0.79700000000000004"/>
    <x v="447"/>
  </r>
  <r>
    <x v="1152"/>
    <x v="5"/>
    <e v="#VALUE!"/>
    <s v="529E(U:GAP)"/>
    <s v="US3647601083"/>
    <s v="U$"/>
    <n v="12.709"/>
    <n v="0.193"/>
    <n v="10.127000000000001"/>
    <n v="4.1040000000000001"/>
    <n v="7.3159999999999998"/>
    <x v="448"/>
  </r>
  <r>
    <x v="1152"/>
    <x v="5"/>
    <e v="#VALUE!"/>
    <s v="384E(U:GAP)"/>
    <s v="US3647601083"/>
    <s v="U$"/>
    <n v="5.6390000000000002"/>
    <n v="30.928000000000001"/>
    <n v="6.7610000000000001"/>
    <n v="15.218999999999999"/>
    <n v="7.9720000000000004"/>
    <x v="449"/>
  </r>
  <r>
    <x v="1152"/>
    <x v="5"/>
    <e v="#VALUE!"/>
    <s v="380E(U:GAP)"/>
    <s v="US3647601083"/>
    <s v="U$"/>
    <n v="3.7919999999999998"/>
    <n v="8.3879999999999999"/>
    <n v="4.9619999999999997"/>
    <n v="4.9379999999999997"/>
    <n v="3.55"/>
    <x v="450"/>
  </r>
  <r>
    <x v="1152"/>
    <x v="5"/>
    <e v="#VALUE!"/>
    <s v="157E(U:GAP)"/>
    <s v="US3647601083"/>
    <s v="U$"/>
    <n v="10.275"/>
    <n v="3.1962999999999999"/>
    <n v="6.1875"/>
    <n v="1.9737"/>
    <n v="7.3708"/>
    <x v="451"/>
  </r>
  <r>
    <x v="1152"/>
    <x v="5"/>
    <e v="#VALUE!"/>
    <s v="388E(U:GAP)"/>
    <s v="US3647601083"/>
    <s v="U$"/>
    <n v="0.38100000000000001"/>
    <n v="0.41199999999999998"/>
    <n v="0.53800000000000003"/>
    <n v="0.248"/>
    <n v="0.22700000000000001"/>
    <x v="452"/>
  </r>
  <r>
    <x v="1152"/>
    <x v="5"/>
    <e v="#VALUE!"/>
    <s v="334E(U:GAP)"/>
    <s v="US3647601083"/>
    <s v="U$"/>
    <n v="-0.14199999999999999"/>
    <n v="0.44700000000000001"/>
    <n v="0.441"/>
    <n v="1.224"/>
    <n v="1.6639999999999999"/>
    <x v="453"/>
  </r>
  <r>
    <x v="1152"/>
    <x v="5"/>
    <e v="#VALUE!"/>
    <s v="338E(U:GAP)"/>
    <s v="US3647601083"/>
    <s v="U$"/>
    <n v="-3.5000000000000003E-2"/>
    <n v="4.4999999999999998E-2"/>
    <n v="8.8999999999999996E-2"/>
    <n v="0.20799999999999999"/>
    <n v="0.36"/>
    <x v="454"/>
  </r>
  <r>
    <x v="1152"/>
    <x v="5"/>
    <e v="#VALUE!"/>
    <s v="251E(U:GAP)"/>
    <s v="US3647601083"/>
    <s v="U$"/>
    <n v="0.47"/>
    <n v="23.15"/>
    <n v="0.45"/>
    <n v="1.44"/>
    <n v="0.73"/>
    <x v="455"/>
  </r>
  <r>
    <x v="1152"/>
    <x v="5"/>
    <e v="#VALUE!"/>
    <s v="250E(U:GAP)"/>
    <s v="US3647601083"/>
    <s v="U$"/>
    <n v="0.28999999999999998"/>
    <n v="13.81"/>
    <n v="0.31"/>
    <n v="0.86"/>
    <n v="0.48"/>
    <x v="456"/>
  </r>
  <r>
    <x v="1152"/>
    <x v="5"/>
    <e v="#VALUE!"/>
    <s v="553E(U:GAP)"/>
    <s v="US3647601083"/>
    <s v="U$"/>
    <n v="1.6857"/>
    <n v="2.4251"/>
    <n v="2.6886000000000001"/>
    <n v="1.4139999999999999"/>
    <n v="1.6987000000000001"/>
    <x v="457"/>
  </r>
  <r>
    <x v="1153"/>
    <x v="18"/>
    <s v="12MTH TRAILING EPS"/>
    <s v="U:GAP(EPS1TR12)~U$"/>
    <s v="US3647601083"/>
    <s v="U$"/>
    <n v="2.2810000000000001"/>
    <n v="-0.74299999999999999"/>
    <n v="0.77700000000000002"/>
    <n v="0.3"/>
    <n v="0.313"/>
    <x v="458"/>
  </r>
  <r>
    <x v="1154"/>
    <x v="18"/>
    <s v="DIV.PER SHR."/>
    <s v="U:GAP(DPS)~U$"/>
    <s v="US3647601083"/>
    <s v="U$"/>
    <n v="0.97"/>
    <n v="0"/>
    <n v="0.48"/>
    <n v="0.6"/>
    <n v="0.6"/>
    <x v="163"/>
  </r>
  <r>
    <x v="1152"/>
    <x v="5"/>
    <e v="#VALUE!"/>
    <s v="354E(U:GAP)"/>
    <s v="US3647601083"/>
    <s v="U$"/>
    <n v="5.9989999999999997"/>
    <n v="1.663"/>
    <n v="2.8679999999999999"/>
    <n v="6.3879999999999999"/>
    <n v="5.4790000000000001"/>
    <x v="459"/>
  </r>
  <r>
    <x v="1151"/>
    <x v="18"/>
    <s v="12MTH FORWARD EPS"/>
    <s v="U:GAP(EPS1FD12)~U$"/>
    <s v="US3647601083"/>
    <s v="U$"/>
    <n v="2.101"/>
    <n v="3.3000000000000002E-2"/>
    <n v="2.4129999999999998"/>
    <n v="0.38300000000000001"/>
    <n v="0.79700000000000004"/>
    <x v="447"/>
  </r>
  <r>
    <x v="1150"/>
    <x v="18"/>
    <s v="PER"/>
    <s v="U:GAP(PE)"/>
    <s v="US3647601083"/>
    <s v="U$"/>
    <n v="7.1"/>
    <s v="NA"/>
    <n v="14.7"/>
    <s v="NA"/>
    <n v="35.299999999999997"/>
    <x v="446"/>
  </r>
  <r>
    <x v="1149"/>
    <x v="18"/>
    <s v="MARKET VALUE"/>
    <s v="U:GAP(MV)~U$"/>
    <s v="US3647601083"/>
    <s v="U$"/>
    <n v="6741.63"/>
    <n v="6272.62"/>
    <n v="9158.16"/>
    <n v="3316.91"/>
    <n v="3746.89"/>
    <x v="445"/>
  </r>
  <r>
    <x v="1155"/>
    <x v="18"/>
    <s v="EARNINGS PER SHR"/>
    <s v="U:GAP(EPS)~U$"/>
    <s v="US3647601083"/>
    <s v="U$"/>
    <n v="2.54"/>
    <n v="0"/>
    <n v="1.66"/>
    <n v="0"/>
    <n v="0.28999999999999998"/>
    <x v="35"/>
  </r>
  <r>
    <x v="1152"/>
    <x v="5"/>
    <e v="#VALUE!"/>
    <s v="897E(U:GAP)"/>
    <s v="US3647601083"/>
    <s v="NA"/>
    <n v="1.3396999999999999"/>
    <n v="1.7997000000000001"/>
    <n v="1.7390000000000001"/>
    <n v="1.8214999999999999"/>
    <n v="1.8322000000000001"/>
    <x v="460"/>
  </r>
  <r>
    <x v="1152"/>
    <x v="5"/>
    <e v="#VALUE!"/>
    <s v="400E(U:GAP)"/>
    <s v="US3647601083"/>
    <s v="NA"/>
    <n v="0.35420000000000001"/>
    <n v="0.52500000000000002"/>
    <n v="0.50790000000000002"/>
    <n v="0.56130000000000002"/>
    <n v="0.59989999999999999"/>
    <x v="461"/>
  </r>
  <r>
    <x v="1156"/>
    <x v="18"/>
    <s v="ACCOUNTS PAYABLE"/>
    <s v="U:GAP(WC03040)~U$"/>
    <s v="US3647601083"/>
    <s v="U$"/>
    <n v="1174000"/>
    <n v="1743000"/>
    <n v="1951000"/>
    <n v="1320000"/>
    <n v="1349000"/>
    <x v="18"/>
  </r>
  <r>
    <x v="1157"/>
    <x v="18"/>
    <s v="AMORTIZATION-INTANGIBLE ASSETS"/>
    <s v="U:GAP(WC04050)~U$"/>
    <s v="US3647601083"/>
    <s v="U$"/>
    <n v="3000"/>
    <n v="2000"/>
    <n v="2000"/>
    <n v="9000"/>
    <n v="9000"/>
    <x v="18"/>
  </r>
  <r>
    <x v="1158"/>
    <x v="18"/>
    <s v="AMORTIZATION OF INTANGIBLES"/>
    <s v="U:GAP(WC01149)~U$"/>
    <s v="US3647601083"/>
    <s v="U$"/>
    <n v="3000"/>
    <n v="2000"/>
    <n v="2000"/>
    <n v="9000"/>
    <n v="9000"/>
    <x v="18"/>
  </r>
  <r>
    <x v="1159"/>
    <x v="18"/>
    <s v="BOOK VALUE-OUT SHARES-FISCAL"/>
    <s v="U:GAP(WC05491)~U$"/>
    <s v="US3647601083"/>
    <s v="U$"/>
    <n v="8.9380000000000006"/>
    <n v="6.9889999999999999"/>
    <n v="7.3369999999999997"/>
    <n v="6.101"/>
    <n v="6.976"/>
    <x v="18"/>
  </r>
  <r>
    <x v="1160"/>
    <x v="18"/>
    <s v="BOOK VALUE PER SHARE"/>
    <s v="U:GAP(WC05476)~U$"/>
    <s v="US3647601083"/>
    <s v="U$"/>
    <n v="8.9380000000000006"/>
    <n v="6.9889999999999999"/>
    <n v="7.3369999999999997"/>
    <n v="6.101"/>
    <n v="6.976"/>
    <x v="18"/>
  </r>
  <r>
    <x v="1161"/>
    <x v="18"/>
    <s v="CAPITAL EXPENDITURES"/>
    <s v="U:GAP(WC04601)~U$"/>
    <s v="US3647601083"/>
    <s v="U$"/>
    <n v="1045000"/>
    <n v="392000"/>
    <n v="694000"/>
    <n v="685000"/>
    <n v="420000"/>
    <x v="18"/>
  </r>
  <r>
    <x v="1162"/>
    <x v="18"/>
    <s v="CASH"/>
    <s v="U:GAP(WC02003)~U$"/>
    <s v="US3647601083"/>
    <s v="U$"/>
    <n v="1364000"/>
    <n v="1992000"/>
    <n v="877000"/>
    <n v="1215000"/>
    <n v="1873000"/>
    <x v="18"/>
  </r>
  <r>
    <x v="1163"/>
    <x v="18"/>
    <s v="CASH - GENERIC"/>
    <s v="U:GAP(WC02005)~U$"/>
    <s v="US3647601083"/>
    <s v="U$"/>
    <n v="1664000"/>
    <n v="2407000"/>
    <n v="893000"/>
    <n v="1226000"/>
    <n v="1880000"/>
    <x v="18"/>
  </r>
  <r>
    <x v="1164"/>
    <x v="18"/>
    <s v="CASH &amp; SHORT TERM INVESTMENTS"/>
    <s v="U:GAP(WC02001)~U$"/>
    <s v="US3647601083"/>
    <s v="U$"/>
    <n v="1664000"/>
    <n v="2407000"/>
    <n v="893000"/>
    <n v="1226000"/>
    <n v="1880000"/>
    <x v="18"/>
  </r>
  <r>
    <x v="1165"/>
    <x v="18"/>
    <s v="CASH DIVIDENDS PAID - TOTAL"/>
    <s v="U:GAP(WC04551)~U$"/>
    <s v="US3647601083"/>
    <s v="U$"/>
    <n v="364000"/>
    <n v="0"/>
    <n v="226000"/>
    <n v="220000"/>
    <n v="222000"/>
    <x v="18"/>
  </r>
  <r>
    <x v="1166"/>
    <x v="18"/>
    <s v="CASH FLOW PER SHARE"/>
    <s v="U:GAP(WC05501)~U$"/>
    <s v="US3647601083"/>
    <s v="U$"/>
    <n v="2.9129999999999998"/>
    <n v="1.0940000000000001"/>
    <n v="3.3319999999999999"/>
    <n v="1.117"/>
    <n v="2.7450000000000001"/>
    <x v="18"/>
  </r>
  <r>
    <x v="1167"/>
    <x v="18"/>
    <s v="CASH FLOW PER SHARE - FIS YR"/>
    <s v="U:GAP(WC05502)~U$"/>
    <s v="US3647601083"/>
    <s v="U$"/>
    <n v="2.9129999999999998"/>
    <n v="1.0940000000000001"/>
    <n v="3.3319999999999999"/>
    <n v="1.117"/>
    <n v="2.7450000000000001"/>
    <x v="18"/>
  </r>
  <r>
    <x v="1168"/>
    <x v="18"/>
    <s v="COMMON DIVIDENDS (CASH)"/>
    <s v="U:GAP(WC05376)~U$"/>
    <s v="US3647601083"/>
    <s v="U$"/>
    <n v="364000"/>
    <n v="0"/>
    <n v="226000"/>
    <n v="220000"/>
    <n v="222000"/>
    <x v="18"/>
  </r>
  <r>
    <x v="1169"/>
    <x v="18"/>
    <s v="COMMON SHAREHOLDERS' EQUITY"/>
    <s v="U:GAP(WC03501)~U$"/>
    <s v="US3647601083"/>
    <s v="U$"/>
    <n v="3316000"/>
    <n v="2614000"/>
    <n v="2722000"/>
    <n v="2233000"/>
    <n v="2595000"/>
    <x v="18"/>
  </r>
  <r>
    <x v="1170"/>
    <x v="18"/>
    <s v="COMMON STOCK"/>
    <s v="U:GAP(WC03480)~U$"/>
    <s v="US3647601083"/>
    <s v="U$"/>
    <n v="19000"/>
    <n v="19000"/>
    <n v="19000"/>
    <n v="18000"/>
    <n v="19000"/>
    <x v="18"/>
  </r>
  <r>
    <x v="1171"/>
    <x v="18"/>
    <s v="COST OF GOODS SOLD (EXCL DEP)"/>
    <s v="U:GAP(WC01051)~U$"/>
    <s v="US3647601083"/>
    <s v="U$"/>
    <n v="9722000"/>
    <n v="8588000"/>
    <n v="9529000"/>
    <n v="9717000"/>
    <n v="8588000"/>
    <x v="18"/>
  </r>
  <r>
    <x v="1172"/>
    <x v="18"/>
    <s v="CURRENT ASSETS - TOTAL"/>
    <s v="U:GAP(WC02201)~U$"/>
    <s v="US3647601083"/>
    <s v="U$"/>
    <n v="4516000"/>
    <n v="6008000"/>
    <n v="5165000"/>
    <n v="4617000"/>
    <n v="4395000"/>
    <x v="18"/>
  </r>
  <r>
    <x v="1173"/>
    <x v="18"/>
    <s v="CURRENT LIABILITIES-TOTAL"/>
    <s v="U:GAP(WC03101)~U$"/>
    <s v="US3647601083"/>
    <s v="U$"/>
    <n v="3209000"/>
    <n v="3884000"/>
    <n v="4077000"/>
    <n v="3256000"/>
    <n v="3096000"/>
    <x v="18"/>
  </r>
  <r>
    <x v="1174"/>
    <x v="18"/>
    <s v="DEPRECIATION AND DEPLETION"/>
    <s v="U:GAP(WC04049)~U$"/>
    <s v="US3647601083"/>
    <s v="U$"/>
    <n v="554000"/>
    <n v="505000"/>
    <n v="502000"/>
    <n v="531000"/>
    <n v="513000"/>
    <x v="18"/>
  </r>
  <r>
    <x v="1175"/>
    <x v="18"/>
    <s v="DEPRECIATION/DEPLETION/AMORT"/>
    <s v="U:GAP(WC01151)~U$"/>
    <s v="US3647601083"/>
    <s v="U$"/>
    <n v="557000"/>
    <n v="507000"/>
    <n v="504000"/>
    <n v="540000"/>
    <n v="522000"/>
    <x v="18"/>
  </r>
  <r>
    <x v="1176"/>
    <x v="18"/>
    <s v="DIVIDENDS PER SHARE"/>
    <s v="U:GAP(WC05101)~U$"/>
    <s v="US3647601083"/>
    <s v="U$"/>
    <n v="0.97"/>
    <n v="0.24199999999999999"/>
    <n v="0.36"/>
    <n v="0.6"/>
    <n v="0.6"/>
    <x v="18"/>
  </r>
  <r>
    <x v="1177"/>
    <x v="18"/>
    <s v="DIVIDENDS PER SHARE - FISCAL"/>
    <s v="U:GAP(WC05110)~U$"/>
    <s v="US3647601083"/>
    <s v="U$"/>
    <n v="0.97"/>
    <n v="0.24199999999999999"/>
    <n v="0.36"/>
    <n v="0.6"/>
    <n v="0.6"/>
    <x v="18"/>
  </r>
  <r>
    <x v="1178"/>
    <x v="18"/>
    <s v="EARNINGS BEF INTEREST &amp; TAXES"/>
    <s v="U:GAP(WC18191)~U$"/>
    <s v="US3647601083"/>
    <s v="U$"/>
    <n v="604000"/>
    <n v="-910000"/>
    <n v="490000"/>
    <n v="-51000"/>
    <n v="646000"/>
    <x v="18"/>
  </r>
  <r>
    <x v="1179"/>
    <x v="18"/>
    <s v="EBIT &amp; DEPRECIATION"/>
    <s v="U:GAP(WC18198)~U$"/>
    <s v="US3647601083"/>
    <s v="U$"/>
    <n v="1161000"/>
    <n v="-403000"/>
    <n v="994000"/>
    <n v="489000"/>
    <n v="1168000"/>
    <x v="18"/>
  </r>
  <r>
    <x v="1180"/>
    <x v="18"/>
    <s v="EARNINGS PER SHARE"/>
    <s v="U:GAP(WC05201)~U$"/>
    <s v="US3647601083"/>
    <s v="U$"/>
    <n v="1.008"/>
    <n v="-2.1040000000000001"/>
    <n v="0.621"/>
    <n v="-0.55000000000000004"/>
    <n v="1.335"/>
    <x v="18"/>
  </r>
  <r>
    <x v="1181"/>
    <x v="18"/>
    <s v="FISCAL EPS-FULLY DILUTED-YR"/>
    <s v="U:GAP(WC10030)~U$"/>
    <s v="US3647601083"/>
    <s v="U$"/>
    <n v="1.008"/>
    <n v="-2.1040000000000001"/>
    <n v="0.621"/>
    <n v="-0.55000000000000004"/>
    <n v="1.335"/>
    <x v="18"/>
  </r>
  <r>
    <x v="1182"/>
    <x v="18"/>
    <s v="ENTERPRISE VALUE"/>
    <s v="U:GAP(WC18100)~U$"/>
    <s v="US3647601083"/>
    <s v="U$"/>
    <n v="6044110"/>
    <n v="7382500"/>
    <n v="7183670"/>
    <n v="5441200"/>
    <n v="6977320"/>
    <x v="18"/>
  </r>
  <r>
    <x v="1183"/>
    <x v="18"/>
    <s v="GROSS INCOME"/>
    <s v="U:GAP(WC01100)~U$"/>
    <s v="US3647601083"/>
    <s v="U$"/>
    <n v="6104000"/>
    <n v="4705000"/>
    <n v="6637000"/>
    <n v="5359000"/>
    <n v="5779000"/>
    <x v="18"/>
  </r>
  <r>
    <x v="1184"/>
    <x v="18"/>
    <s v="IMPAIRMENT- OTHER INTANGIBLES"/>
    <s v="U:GAP(WC18226)~U$"/>
    <s v="US3647601083"/>
    <s v="U$"/>
    <s v="NA"/>
    <n v="31000"/>
    <s v="NA"/>
    <s v="NA"/>
    <s v="NA"/>
    <x v="18"/>
  </r>
  <r>
    <x v="1185"/>
    <x v="18"/>
    <s v="INCOME TAXES"/>
    <s v="U:GAP(WC01451)~U$"/>
    <s v="US3647601083"/>
    <s v="U$"/>
    <n v="147000"/>
    <n v="-315000"/>
    <n v="85000"/>
    <n v="63000"/>
    <n v="54000"/>
    <x v="18"/>
  </r>
  <r>
    <x v="1186"/>
    <x v="18"/>
    <s v="INCREASE/DECREASE IN CASH/SHOR"/>
    <s v="U:GAP(WC04851)~U$"/>
    <s v="US3647601083"/>
    <s v="U$"/>
    <n v="-39000"/>
    <n v="635000"/>
    <n v="-1114000"/>
    <n v="371000"/>
    <n v="628000"/>
    <x v="18"/>
  </r>
  <r>
    <x v="1187"/>
    <x v="18"/>
    <s v="INTEREST EXPENSE ON DEBT"/>
    <s v="U:GAP(WC01251)~U$"/>
    <s v="US3647601083"/>
    <s v="U$"/>
    <n v="83000"/>
    <n v="201000"/>
    <n v="174000"/>
    <n v="95000"/>
    <n v="95000"/>
    <x v="18"/>
  </r>
  <r>
    <x v="1188"/>
    <x v="18"/>
    <s v="TOTAL INVENTORIES"/>
    <s v="U:GAP(WC02101)~U$"/>
    <s v="US3647601083"/>
    <s v="U$"/>
    <n v="2156000"/>
    <n v="2451000"/>
    <n v="3018000"/>
    <n v="2389000"/>
    <n v="1995000"/>
    <x v="18"/>
  </r>
  <r>
    <x v="1189"/>
    <x v="18"/>
    <s v="LONG TERM DEBT"/>
    <s v="U:GAP(WC03251)~U$"/>
    <s v="US3647601083"/>
    <s v="U$"/>
    <n v="1249000"/>
    <n v="2216000"/>
    <n v="1484000"/>
    <n v="1836000"/>
    <n v="1488000"/>
    <x v="18"/>
  </r>
  <r>
    <x v="1190"/>
    <x v="18"/>
    <s v="MARKET CAPITALIZATION"/>
    <s v="U:GAP(WC08001)~U$"/>
    <s v="US3647601083"/>
    <s v="U$"/>
    <n v="6559280"/>
    <n v="7551060"/>
    <n v="6548150"/>
    <n v="4128480"/>
    <n v="7778520"/>
    <x v="18"/>
  </r>
  <r>
    <x v="1191"/>
    <x v="18"/>
    <s v="NET CASH FLOW - FINANCING"/>
    <s v="U:GAP(WC04890)~U$"/>
    <s v="US3647601083"/>
    <s v="U$"/>
    <n v="-560000"/>
    <n v="895000"/>
    <n v="-1471000"/>
    <n v="6000"/>
    <n v="-567000"/>
    <x v="18"/>
  </r>
  <r>
    <x v="1192"/>
    <x v="18"/>
    <s v="NET CASH FLOW - INVESTING"/>
    <s v="U:GAP(WC04870)~U$"/>
    <s v="US3647601083"/>
    <s v="U$"/>
    <n v="894000"/>
    <n v="510000"/>
    <n v="446000"/>
    <n v="227000"/>
    <n v="334000"/>
    <x v="18"/>
  </r>
  <r>
    <x v="1193"/>
    <x v="18"/>
    <s v="NET CASH FLOW-OPERATING ACTIVS"/>
    <s v="U:GAP(WC04860)~U$"/>
    <s v="US3647601083"/>
    <s v="U$"/>
    <n v="1411000"/>
    <n v="237000"/>
    <n v="809000"/>
    <n v="607000"/>
    <n v="1532000"/>
    <x v="18"/>
  </r>
  <r>
    <x v="1194"/>
    <x v="18"/>
    <s v="NET DEBT"/>
    <s v="U:GAP(WC18199)~U$"/>
    <s v="US3647601083"/>
    <s v="U$"/>
    <n v="-415000"/>
    <n v="-191000"/>
    <n v="591000"/>
    <n v="610000"/>
    <n v="-392000"/>
    <x v="18"/>
  </r>
  <r>
    <x v="1195"/>
    <x v="18"/>
    <s v="NET INCOME - DILUTED"/>
    <s v="U:GAP(WC01705)~U$"/>
    <s v="US3647601083"/>
    <s v="U$"/>
    <n v="381000"/>
    <n v="-787000"/>
    <n v="238000"/>
    <n v="-202000"/>
    <n v="502000"/>
    <x v="18"/>
  </r>
  <r>
    <x v="1196"/>
    <x v="18"/>
    <s v="NET SALES OR REVENUES"/>
    <s v="U:GAP(WC01001)~U$"/>
    <s v="US3647601083"/>
    <s v="U$"/>
    <n v="16383000"/>
    <n v="13800000"/>
    <n v="16670000"/>
    <n v="15616000"/>
    <n v="14889000"/>
    <x v="18"/>
  </r>
  <r>
    <x v="1197"/>
    <x v="18"/>
    <s v="NON-OPERATING INTEREST INCOME"/>
    <s v="U:GAP(WC01266)~U$"/>
    <s v="US3647601083"/>
    <s v="U$"/>
    <n v="30000"/>
    <n v="10000"/>
    <n v="5000"/>
    <n v="18000"/>
    <n v="86000"/>
    <x v="18"/>
  </r>
  <r>
    <x v="1198"/>
    <x v="18"/>
    <s v="OPERATING EXPENSES - TOTAL"/>
    <s v="U:GAP(WC01249)~U$"/>
    <s v="US3647601083"/>
    <s v="U$"/>
    <n v="15481000"/>
    <n v="14105000"/>
    <n v="15751000"/>
    <n v="15581000"/>
    <n v="14276000"/>
    <x v="18"/>
  </r>
  <r>
    <x v="1199"/>
    <x v="18"/>
    <s v="OPERATING INCOME"/>
    <s v="U:GAP(WC01250)~U$"/>
    <s v="US3647601083"/>
    <s v="U$"/>
    <n v="902000"/>
    <n v="-305000"/>
    <n v="919000"/>
    <n v="35000"/>
    <n v="613000"/>
    <x v="18"/>
  </r>
  <r>
    <x v="1200"/>
    <x v="18"/>
    <s v="PRETAX INCOME"/>
    <s v="U:GAP(WC01401)~U$"/>
    <s v="US3647601083"/>
    <s v="U$"/>
    <n v="528000"/>
    <n v="-1102000"/>
    <n v="323000"/>
    <n v="-139000"/>
    <n v="556000"/>
    <x v="18"/>
  </r>
  <r>
    <x v="1201"/>
    <x v="18"/>
    <s v="PROPERTY, PLANT &amp; EQUIP - NET"/>
    <s v="U:GAP(WC02501)~U$"/>
    <s v="US3647601083"/>
    <s v="U$"/>
    <n v="8524000"/>
    <n v="7058000"/>
    <n v="6712000"/>
    <n v="5861000"/>
    <n v="5681000"/>
    <x v="18"/>
  </r>
  <r>
    <x v="1202"/>
    <x v="18"/>
    <s v="RECEIVABLES(NET)"/>
    <s v="U:GAP(WC02051)~U$"/>
    <s v="US3647601083"/>
    <s v="U$"/>
    <n v="316000"/>
    <n v="363000"/>
    <n v="399000"/>
    <n v="340000"/>
    <n v="289000"/>
    <x v="18"/>
  </r>
  <r>
    <x v="1203"/>
    <x v="18"/>
    <s v="RESEARCH &amp; DEVELOPMENT"/>
    <s v="U:GAP(WC01201)~U$"/>
    <s v="US3647601083"/>
    <s v="U$"/>
    <s v="NA"/>
    <n v="46000"/>
    <n v="41000"/>
    <n v="46000"/>
    <n v="37000"/>
    <x v="18"/>
  </r>
  <r>
    <x v="1204"/>
    <x v="18"/>
    <s v="SELLING, GENERAL &amp; ADMINISTRAT"/>
    <s v="U:GAP(WC01101)~U$"/>
    <s v="US3647601083"/>
    <s v="U$"/>
    <n v="980000"/>
    <n v="1220000"/>
    <n v="1535000"/>
    <n v="1471000"/>
    <n v="1239000"/>
    <x v="18"/>
  </r>
  <r>
    <x v="1205"/>
    <x v="18"/>
    <s v="SHORT TERM DEBT &amp; CURRENT PORT"/>
    <s v="U:GAP(WC03051)~U$"/>
    <s v="US3647601083"/>
    <s v="U$"/>
    <n v="0"/>
    <n v="0"/>
    <n v="0"/>
    <n v="0"/>
    <n v="0"/>
    <x v="18"/>
  </r>
  <r>
    <x v="1206"/>
    <x v="18"/>
    <s v="TOTAL ASSETS"/>
    <s v="U:GAP(WC02999)~U$"/>
    <s v="US3647601083"/>
    <s v="U$"/>
    <n v="13679000"/>
    <n v="13769000"/>
    <n v="12761000"/>
    <n v="11386000"/>
    <n v="11044000"/>
    <x v="18"/>
  </r>
  <r>
    <x v="1207"/>
    <x v="18"/>
    <s v="TOTAL CAPITAL"/>
    <s v="U:GAP(WC03998)~U$"/>
    <s v="US3647601083"/>
    <s v="U$"/>
    <n v="4565000"/>
    <n v="4830000"/>
    <n v="4206000"/>
    <n v="4069000"/>
    <n v="4083000"/>
    <x v="18"/>
  </r>
  <r>
    <x v="1208"/>
    <x v="18"/>
    <s v="TOTAL DEBT"/>
    <s v="U:GAP(WC03255)~U$"/>
    <s v="US3647601083"/>
    <s v="U$"/>
    <n v="1249000"/>
    <n v="2216000"/>
    <n v="1484000"/>
    <n v="1836000"/>
    <n v="1488000"/>
    <x v="18"/>
  </r>
  <r>
    <x v="1209"/>
    <x v="18"/>
    <s v="TOTAL INTANGIBLE OT ASSETS-NET"/>
    <s v="U:GAP(WC02649)~U$"/>
    <s v="US3647601083"/>
    <s v="U$"/>
    <n v="230000"/>
    <n v="170000"/>
    <n v="297000"/>
    <n v="288000"/>
    <n v="279000"/>
    <x v="18"/>
  </r>
  <r>
    <x v="1210"/>
    <x v="18"/>
    <s v="TOTAL LIABILITIES"/>
    <s v="U:GAP(WC03351)~U$"/>
    <s v="US3647601083"/>
    <s v="U$"/>
    <n v="10363000"/>
    <n v="11155000"/>
    <n v="10039000"/>
    <n v="9153000"/>
    <n v="8449000"/>
    <x v="18"/>
  </r>
  <r>
    <x v="1211"/>
    <x v="18"/>
    <s v="TOTAL LIABILITIES &amp; SHAREHOLDE"/>
    <s v="U:GAP(WC03999)~U$"/>
    <s v="US3647601083"/>
    <s v="U$"/>
    <n v="13679000"/>
    <n v="13769000"/>
    <n v="12761000"/>
    <n v="11386000"/>
    <n v="11044000"/>
    <x v="18"/>
  </r>
  <r>
    <x v="1212"/>
    <x v="18"/>
    <s v="TOTAL SHAREHOLDERS EQUITY"/>
    <s v="U:GAP(WC03995)~U$"/>
    <s v="US3647601083"/>
    <s v="U$"/>
    <n v="3316000"/>
    <n v="2614000"/>
    <n v="2722000"/>
    <n v="2233000"/>
    <n v="2595000"/>
    <x v="18"/>
  </r>
  <r>
    <x v="1213"/>
    <x v="18"/>
    <s v="WORKING CAPITAL"/>
    <s v="U:GAP(WC03151)~U$"/>
    <s v="US3647601083"/>
    <s v="U$"/>
    <n v="1307000"/>
    <n v="2124000"/>
    <n v="1088000"/>
    <n v="1361000"/>
    <n v="1299000"/>
    <x v="18"/>
  </r>
  <r>
    <x v="1214"/>
    <x v="18"/>
    <s v="BK VAL PS 12M FWD"/>
    <s v="U:GAP(DIBV)~U$"/>
    <s v="US3647601083"/>
    <s v="U$"/>
    <n v="10.64"/>
    <n v="6.92"/>
    <n v="9.06"/>
    <n v="6.45"/>
    <n v="5.96"/>
    <x v="462"/>
  </r>
  <r>
    <x v="1215"/>
    <x v="18"/>
    <s v="EV 12M FWD"/>
    <s v="U:GAP(DIEV)~U$"/>
    <s v="US3647601083"/>
    <s v="U$"/>
    <n v="6759094"/>
    <n v="7216258"/>
    <n v="9689020"/>
    <n v="4685379"/>
    <n v="4364586"/>
    <x v="463"/>
  </r>
  <r>
    <x v="1216"/>
    <x v="18"/>
    <s v="NET INCOME 12M FWD"/>
    <s v="U:GAP(DINI)~U$"/>
    <s v="US3647601083"/>
    <s v="U$"/>
    <n v="789550.1"/>
    <n v="10076.74"/>
    <n v="925596.7"/>
    <n v="124510"/>
    <n v="292090.09999999998"/>
    <x v="464"/>
  </r>
  <r>
    <x v="1217"/>
    <x v="18"/>
    <s v="PRETAX PRF 12M FWD"/>
    <s v="U:GAP(DINP)~U$"/>
    <s v="US3647601083"/>
    <s v="U$"/>
    <n v="1070557"/>
    <n v="-1020.02"/>
    <n v="1241020"/>
    <n v="173173.3"/>
    <n v="368783.2"/>
    <x v="465"/>
  </r>
  <r>
    <x v="1218"/>
    <x v="18"/>
    <s v="ROE 12M FWD"/>
    <s v="U:GAP(DIRE)~U$"/>
    <s v="US3647601083"/>
    <s v="U$"/>
    <n v="20.56"/>
    <n v="2.4700000000000002"/>
    <n v="31.48"/>
    <n v="6.19"/>
    <n v="11.94"/>
    <x v="466"/>
  </r>
  <r>
    <x v="1219"/>
    <x v="18"/>
    <s v="SALES 12M FWD"/>
    <s v="U:GAP(DISL)~U$"/>
    <s v="US3647601083"/>
    <s v="U$"/>
    <n v="16588930"/>
    <n v="14763490"/>
    <n v="18120700"/>
    <n v="15851980"/>
    <n v="14759970"/>
    <x v="467"/>
  </r>
  <r>
    <x v="1220"/>
    <x v="18"/>
    <s v="DECREASE/INCR OTH ASTS/LIABILT"/>
    <s v="U:GAP(WC04830)~U$"/>
    <s v="US3647601083"/>
    <s v="U$"/>
    <n v="44000"/>
    <n v="-113000"/>
    <n v="-147000"/>
    <n v="9000"/>
    <n v="-12000"/>
    <x v="18"/>
  </r>
  <r>
    <x v="1221"/>
    <x v="18"/>
    <s v="DECREASE/INCREASE INVENTORIES"/>
    <s v="U:GAP(WC04826)~U$"/>
    <s v="US3647601083"/>
    <s v="U$"/>
    <n v="4000"/>
    <n v="-305000"/>
    <n v="-593000"/>
    <n v="554000"/>
    <n v="383000"/>
    <x v="18"/>
  </r>
  <r>
    <x v="1222"/>
    <x v="18"/>
    <s v="DECREASE IN INVESTMENTS"/>
    <s v="U:GAP(WC04440)~U$"/>
    <s v="US3647601083"/>
    <s v="U$"/>
    <n v="293000"/>
    <n v="388000"/>
    <n v="1162000"/>
    <n v="0"/>
    <n v="0"/>
    <x v="18"/>
  </r>
  <r>
    <x v="1223"/>
    <x v="19"/>
    <s v="MARKET VALUE"/>
    <s v="U:JWN(MV)~U$"/>
    <s v="US6556641008"/>
    <s v="U$"/>
    <n v="5048.67"/>
    <n v="2275.54"/>
    <n v="4468.91"/>
    <n v="3007.59"/>
    <n v="2349.19"/>
    <x v="468"/>
  </r>
  <r>
    <x v="1224"/>
    <x v="19"/>
    <s v="PER"/>
    <s v="U:JWN(PE)"/>
    <s v="US6556641008"/>
    <s v="U$"/>
    <n v="10.9"/>
    <s v="NA"/>
    <n v="1654.1"/>
    <n v="7.5"/>
    <n v="73"/>
    <x v="469"/>
  </r>
  <r>
    <x v="1225"/>
    <x v="19"/>
    <s v="12MTH FORWARD EPS"/>
    <s v="U:JWN(EPS1FD12)~U$"/>
    <s v="US6556641008"/>
    <s v="U$"/>
    <n v="3.363"/>
    <n v="-0.44700000000000001"/>
    <n v="2.08"/>
    <n v="2.5169999999999999"/>
    <n v="2.0299999999999998"/>
    <x v="470"/>
  </r>
  <r>
    <x v="1226"/>
    <x v="5"/>
    <e v="#VALUE!"/>
    <s v="529E(U:JWN)"/>
    <s v="US6556641008"/>
    <s v="U$"/>
    <n v="12.926"/>
    <n v="-2.964"/>
    <n v="7.7039999999999997"/>
    <n v="13.997"/>
    <n v="14"/>
    <x v="471"/>
  </r>
  <r>
    <x v="1226"/>
    <x v="5"/>
    <e v="#VALUE!"/>
    <s v="384E(U:JWN)"/>
    <s v="US6556641008"/>
    <s v="U$"/>
    <n v="8.4320000000000004"/>
    <n v="581.99300000000005"/>
    <n v="11.881"/>
    <n v="7.5869999999999997"/>
    <n v="8.3979999999999997"/>
    <x v="472"/>
  </r>
  <r>
    <x v="1226"/>
    <x v="5"/>
    <e v="#VALUE!"/>
    <s v="380E(U:JWN)"/>
    <s v="US6556641008"/>
    <s v="U$"/>
    <n v="4.593"/>
    <n v="7.4560000000000004"/>
    <n v="5.5579999999999998"/>
    <n v="3.9929999999999999"/>
    <n v="4.0209999999999999"/>
    <x v="473"/>
  </r>
  <r>
    <x v="1226"/>
    <x v="5"/>
    <e v="#VALUE!"/>
    <s v="157E(U:JWN)"/>
    <s v="US6556641008"/>
    <s v="U$"/>
    <n v="8.0596999999999994"/>
    <n v="19.866499999999998"/>
    <n v="2.7263999999999999"/>
    <n v="16.1905"/>
    <n v="14.544600000000001"/>
    <x v="474"/>
  </r>
  <r>
    <x v="1226"/>
    <x v="5"/>
    <e v="#VALUE!"/>
    <s v="388E(U:JWN)"/>
    <s v="US6556641008"/>
    <s v="U$"/>
    <n v="0.434"/>
    <n v="0.378"/>
    <n v="0.46899999999999997"/>
    <n v="0.32800000000000001"/>
    <n v="0.311"/>
    <x v="475"/>
  </r>
  <r>
    <x v="1226"/>
    <x v="5"/>
    <e v="#VALUE!"/>
    <s v="334E(U:JWN)"/>
    <s v="US6556641008"/>
    <s v="U$"/>
    <n v="1.5389999999999999"/>
    <n v="4.2279999999999998"/>
    <n v="1.6060000000000001"/>
    <n v="1.7190000000000001"/>
    <n v="1.992"/>
    <x v="476"/>
  </r>
  <r>
    <x v="1226"/>
    <x v="5"/>
    <e v="#VALUE!"/>
    <s v="338E(U:JWN)"/>
    <s v="US6556641008"/>
    <s v="U$"/>
    <n v="0.34399999999999997"/>
    <n v="0.61899999999999999"/>
    <n v="0.30599999999999999"/>
    <n v="0.39100000000000001"/>
    <n v="0.51500000000000001"/>
    <x v="477"/>
  </r>
  <r>
    <x v="1226"/>
    <x v="5"/>
    <e v="#VALUE!"/>
    <s v="251E(U:JWN)"/>
    <s v="US6556641008"/>
    <s v="U$"/>
    <n v="0.46"/>
    <s v="NA"/>
    <n v="0.6"/>
    <n v="0.42"/>
    <n v="0.38"/>
    <x v="478"/>
  </r>
  <r>
    <x v="1226"/>
    <x v="5"/>
    <e v="#VALUE!"/>
    <s v="250E(U:JWN)"/>
    <s v="US6556641008"/>
    <s v="U$"/>
    <n v="0.28000000000000003"/>
    <s v="NA"/>
    <n v="0.41"/>
    <n v="0.25"/>
    <n v="0.25"/>
    <x v="479"/>
  </r>
  <r>
    <x v="1226"/>
    <x v="5"/>
    <e v="#VALUE!"/>
    <s v="553E(U:JWN)"/>
    <s v="US6556641008"/>
    <s v="U$"/>
    <n v="4.9404000000000003"/>
    <n v="5.1166"/>
    <n v="10.4406"/>
    <n v="3.3022999999999998"/>
    <n v="2.4516"/>
    <x v="480"/>
  </r>
  <r>
    <x v="1227"/>
    <x v="19"/>
    <s v="12MTH TRAILING EPS"/>
    <s v="U:JWN(EPS1TR12)~U$"/>
    <s v="US6556641008"/>
    <s v="U$"/>
    <n v="3.4119999999999999"/>
    <n v="-1.77"/>
    <n v="-0.49"/>
    <n v="2.0670000000000002"/>
    <n v="1.917"/>
    <x v="481"/>
  </r>
  <r>
    <x v="1228"/>
    <x v="19"/>
    <s v="DIV.PER SHR."/>
    <s v="U:JWN(DPS)~U$"/>
    <s v="US6556641008"/>
    <s v="U$"/>
    <n v="1.48"/>
    <n v="0"/>
    <n v="0"/>
    <n v="0.76"/>
    <n v="0.76"/>
    <x v="482"/>
  </r>
  <r>
    <x v="1226"/>
    <x v="5"/>
    <e v="#VALUE!"/>
    <s v="354E(U:JWN)"/>
    <s v="US6556641008"/>
    <s v="U$"/>
    <n v="5.9249999999999998"/>
    <n v="4.9329999999999998"/>
    <n v="4.5060000000000002"/>
    <n v="4.375"/>
    <n v="4.782"/>
    <x v="483"/>
  </r>
  <r>
    <x v="1225"/>
    <x v="19"/>
    <s v="12MTH FORWARD EPS"/>
    <s v="U:JWN(EPS1FD12)~U$"/>
    <s v="US6556641008"/>
    <s v="U$"/>
    <n v="3.363"/>
    <n v="-0.44700000000000001"/>
    <n v="2.08"/>
    <n v="2.5169999999999999"/>
    <n v="2.0299999999999998"/>
    <x v="470"/>
  </r>
  <r>
    <x v="1224"/>
    <x v="19"/>
    <s v="PER"/>
    <s v="U:JWN(PE)"/>
    <s v="US6556641008"/>
    <s v="U$"/>
    <n v="10.9"/>
    <s v="NA"/>
    <n v="1654.1"/>
    <n v="7.5"/>
    <n v="73"/>
    <x v="469"/>
  </r>
  <r>
    <x v="1223"/>
    <x v="19"/>
    <s v="MARKET VALUE"/>
    <s v="U:JWN(MV)~U$"/>
    <s v="US6556641008"/>
    <s v="U$"/>
    <n v="5048.67"/>
    <n v="2275.54"/>
    <n v="4468.91"/>
    <n v="3007.59"/>
    <n v="2349.19"/>
    <x v="468"/>
  </r>
  <r>
    <x v="1229"/>
    <x v="19"/>
    <s v="EARNINGS PER SHR"/>
    <s v="U:JWN(EPS)~U$"/>
    <s v="US6556641008"/>
    <s v="U$"/>
    <n v="2.99"/>
    <n v="0"/>
    <n v="0.02"/>
    <n v="2.5299999999999998"/>
    <n v="0.2"/>
    <x v="484"/>
  </r>
  <r>
    <x v="1226"/>
    <x v="5"/>
    <e v="#VALUE!"/>
    <s v="897E(U:JWN)"/>
    <s v="US6556641008"/>
    <s v="NA"/>
    <n v="1.2154"/>
    <n v="1.5181"/>
    <n v="1.4464999999999999"/>
    <n v="1.4923999999999999"/>
    <n v="1.5391999999999999"/>
    <x v="485"/>
  </r>
  <r>
    <x v="1226"/>
    <x v="5"/>
    <e v="#VALUE!"/>
    <s v="400E(U:JWN)"/>
    <s v="US6556641008"/>
    <s v="NA"/>
    <n v="0.36849999999999999"/>
    <n v="0.49120000000000003"/>
    <n v="0.55269999999999997"/>
    <n v="0.63039999999999996"/>
    <n v="0.66539999999999999"/>
    <x v="486"/>
  </r>
  <r>
    <x v="1230"/>
    <x v="20"/>
    <s v="ACCOUNTS PAYABLE"/>
    <s v="U:JWN(WC03040)~U$"/>
    <s v="US6556641008"/>
    <s v="U$"/>
    <n v="1576000"/>
    <n v="1960000"/>
    <n v="1529000"/>
    <n v="1238000"/>
    <n v="1236000"/>
    <x v="18"/>
  </r>
  <r>
    <x v="1231"/>
    <x v="20"/>
    <s v="AMORTIZATION OF DEFERRED CHARG"/>
    <s v="U:JWN(WC01150)~U$"/>
    <s v="US6556641008"/>
    <s v="U$"/>
    <n v="10000"/>
    <s v="NA"/>
    <n v="0"/>
    <n v="0"/>
    <n v="0"/>
    <x v="18"/>
  </r>
  <r>
    <x v="1232"/>
    <x v="20"/>
    <s v="AMORTIZATION-INTANGIBLE ASSETS"/>
    <s v="U:JWN(WC04050)~U$"/>
    <s v="US6556641008"/>
    <s v="U$"/>
    <n v="17000"/>
    <n v="4000"/>
    <s v="NA"/>
    <s v="NA"/>
    <s v="NA"/>
    <x v="18"/>
  </r>
  <r>
    <x v="1233"/>
    <x v="20"/>
    <s v="AMORTIZATION OF INTANGIBLES"/>
    <s v="U:JWN(WC01149)~U$"/>
    <s v="US6556641008"/>
    <s v="U$"/>
    <n v="7000"/>
    <n v="4000"/>
    <s v="NA"/>
    <s v="NA"/>
    <s v="NA"/>
    <x v="18"/>
  </r>
  <r>
    <x v="1234"/>
    <x v="20"/>
    <s v="BOOK VALUE-OUT SHARES-FISCAL"/>
    <s v="U:JWN(WC05491)~U$"/>
    <s v="US6556641008"/>
    <s v="U$"/>
    <n v="6.2919999999999998"/>
    <n v="1.9330000000000001"/>
    <n v="3.645"/>
    <n v="4.6159999999999997"/>
    <n v="5.2220000000000004"/>
    <x v="18"/>
  </r>
  <r>
    <x v="1235"/>
    <x v="20"/>
    <s v="BOOK VALUE PER SHARE"/>
    <s v="U:JWN(WC05476)~U$"/>
    <s v="US6556641008"/>
    <s v="U$"/>
    <n v="6.2919999999999998"/>
    <n v="1.9330000000000001"/>
    <n v="3.645"/>
    <n v="4.6159999999999997"/>
    <n v="5.2220000000000004"/>
    <x v="18"/>
  </r>
  <r>
    <x v="1236"/>
    <x v="20"/>
    <s v="CAPITAL EXPENDITURES"/>
    <s v="U:JWN(WC04601)~U$"/>
    <s v="US6556641008"/>
    <s v="U$"/>
    <n v="935000"/>
    <n v="385000"/>
    <n v="506000"/>
    <n v="473000"/>
    <n v="569000"/>
    <x v="18"/>
  </r>
  <r>
    <x v="1237"/>
    <x v="20"/>
    <s v="CASH"/>
    <s v="U:JWN(WC02003)~U$"/>
    <s v="US6556641008"/>
    <s v="U$"/>
    <n v="853000"/>
    <n v="681000"/>
    <n v="322000"/>
    <n v="687000"/>
    <n v="628000"/>
    <x v="18"/>
  </r>
  <r>
    <x v="1238"/>
    <x v="20"/>
    <s v="CASH - GENERIC"/>
    <s v="U:JWN(WC02005)~U$"/>
    <s v="US6556641008"/>
    <s v="U$"/>
    <n v="853000"/>
    <n v="681000"/>
    <n v="322000"/>
    <n v="687000"/>
    <n v="628000"/>
    <x v="18"/>
  </r>
  <r>
    <x v="1239"/>
    <x v="20"/>
    <s v="CASH &amp; SHORT TERM INVESTMENTS"/>
    <s v="U:JWN(WC02001)~U$"/>
    <s v="US6556641008"/>
    <s v="U$"/>
    <n v="853000"/>
    <n v="681000"/>
    <n v="322000"/>
    <n v="687000"/>
    <n v="628000"/>
    <x v="18"/>
  </r>
  <r>
    <x v="1240"/>
    <x v="20"/>
    <s v="CASH DIVIDENDS PAID - TOTAL"/>
    <s v="U:JWN(WC04551)~U$"/>
    <s v="US6556641008"/>
    <s v="U$"/>
    <n v="229000"/>
    <n v="58000"/>
    <n v="0"/>
    <n v="119000"/>
    <n v="123000"/>
    <x v="18"/>
  </r>
  <r>
    <x v="1241"/>
    <x v="20"/>
    <s v="CASH FLOW PER SHARE"/>
    <s v="U:JWN(WC05501)~U$"/>
    <s v="US6556641008"/>
    <s v="U$"/>
    <n v="9.423"/>
    <n v="2.226"/>
    <n v="6.8739999999999997"/>
    <n v="6.44"/>
    <n v="6.4989999999999997"/>
    <x v="18"/>
  </r>
  <r>
    <x v="1242"/>
    <x v="20"/>
    <s v="CASH FLOW PER SHARE - FIS YR"/>
    <s v="U:JWN(WC05502)~U$"/>
    <s v="US6556641008"/>
    <s v="U$"/>
    <n v="9.423"/>
    <n v="2.226"/>
    <n v="6.8739999999999997"/>
    <n v="6.44"/>
    <n v="6.4989999999999997"/>
    <x v="18"/>
  </r>
  <r>
    <x v="1243"/>
    <x v="20"/>
    <s v="COMMON DIVIDENDS (CASH)"/>
    <s v="U:JWN(WC05376)~U$"/>
    <s v="US6556641008"/>
    <s v="U$"/>
    <n v="229000"/>
    <n v="58000"/>
    <n v="0"/>
    <n v="119000"/>
    <n v="123000"/>
    <x v="18"/>
  </r>
  <r>
    <x v="1244"/>
    <x v="20"/>
    <s v="COMMON SHAREHOLDERS' EQUITY"/>
    <s v="U:JWN(WC03501)~U$"/>
    <s v="US6556641008"/>
    <s v="U$"/>
    <n v="979000"/>
    <n v="305000"/>
    <n v="581000"/>
    <n v="739000"/>
    <n v="848000"/>
    <x v="18"/>
  </r>
  <r>
    <x v="1245"/>
    <x v="20"/>
    <s v="COMMON STOCK"/>
    <s v="U:JWN(WC03480)~U$"/>
    <s v="US6556641008"/>
    <s v="U$"/>
    <n v="3129000"/>
    <n v="3205000"/>
    <n v="3283000"/>
    <n v="3353000"/>
    <n v="3418000"/>
    <x v="18"/>
  </r>
  <r>
    <x v="1246"/>
    <x v="20"/>
    <s v="COST OF GOODS SOLD (EXCL DEP)"/>
    <s v="U:JWN(WC01051)~U$"/>
    <s v="US6556641008"/>
    <s v="U$"/>
    <n v="9261000"/>
    <n v="6900000"/>
    <n v="8729000"/>
    <n v="9345000"/>
    <n v="8685000"/>
    <x v="18"/>
  </r>
  <r>
    <x v="1247"/>
    <x v="20"/>
    <s v="CURRENT ASSETS - TOTAL"/>
    <s v="U:JWN(WC02201)~U$"/>
    <s v="US6556641008"/>
    <s v="U$"/>
    <n v="3230000"/>
    <n v="3642000"/>
    <n v="3172000"/>
    <n v="3209000"/>
    <n v="3136000"/>
    <x v="18"/>
  </r>
  <r>
    <x v="1248"/>
    <x v="20"/>
    <s v="CURRENT LIABILITIES-TOTAL"/>
    <s v="U:JWN(WC03101)~U$"/>
    <s v="US6556641008"/>
    <s v="U$"/>
    <n v="3520000"/>
    <n v="4120000"/>
    <n v="3314000"/>
    <n v="2990000"/>
    <n v="3072000"/>
    <x v="18"/>
  </r>
  <r>
    <x v="1249"/>
    <x v="20"/>
    <s v="DEPRECIATION AND DEPLETION"/>
    <s v="U:JWN(WC04049)~U$"/>
    <s v="US6556641008"/>
    <s v="U$"/>
    <n v="654000"/>
    <n v="671000"/>
    <n v="615000"/>
    <n v="604000"/>
    <n v="586000"/>
    <x v="18"/>
  </r>
  <r>
    <x v="1250"/>
    <x v="20"/>
    <s v="DEPRECIATION/DEPLETION/AMORT"/>
    <s v="U:JWN(WC01151)~U$"/>
    <s v="US6556641008"/>
    <s v="U$"/>
    <n v="671000"/>
    <n v="675000"/>
    <n v="615000"/>
    <n v="604000"/>
    <n v="586000"/>
    <x v="18"/>
  </r>
  <r>
    <x v="1251"/>
    <x v="20"/>
    <s v="DIVIDENDS PER SHARE"/>
    <s v="U:JWN(WC05101)~U$"/>
    <s v="US6556641008"/>
    <s v="U$"/>
    <n v="1.48"/>
    <n v="0.37"/>
    <n v="0"/>
    <n v="0.76"/>
    <n v="0.76"/>
    <x v="18"/>
  </r>
  <r>
    <x v="1252"/>
    <x v="20"/>
    <s v="DIVIDENDS PER SHARE - FISCAL"/>
    <s v="U:JWN(WC05110)~U$"/>
    <s v="US6556641008"/>
    <s v="U$"/>
    <n v="1.48"/>
    <n v="0.37"/>
    <n v="0"/>
    <n v="0.76"/>
    <n v="0.76"/>
    <x v="18"/>
  </r>
  <r>
    <x v="1253"/>
    <x v="20"/>
    <s v="EARNINGS BEF INTEREST &amp; TAXES"/>
    <s v="U:JWN(WC18191)~U$"/>
    <s v="US6556641008"/>
    <s v="U$"/>
    <n v="794000"/>
    <n v="-1044000"/>
    <n v="493000"/>
    <n v="475000"/>
    <n v="284000"/>
    <x v="18"/>
  </r>
  <r>
    <x v="1254"/>
    <x v="20"/>
    <s v="EBIT &amp; DEPRECIATION"/>
    <s v="U:JWN(WC18198)~U$"/>
    <s v="US6556641008"/>
    <s v="U$"/>
    <n v="1465000"/>
    <n v="-369000"/>
    <n v="1108000"/>
    <n v="1079000"/>
    <n v="870000"/>
    <x v="18"/>
  </r>
  <r>
    <x v="1255"/>
    <x v="20"/>
    <s v="EARNINGS PER SHARE"/>
    <s v="U:JWN(WC05201)~U$"/>
    <s v="US6556641008"/>
    <s v="U$"/>
    <n v="3.177"/>
    <n v="-4.3890000000000002"/>
    <n v="1.095"/>
    <n v="1.5109999999999999"/>
    <n v="0.82"/>
    <x v="18"/>
  </r>
  <r>
    <x v="1256"/>
    <x v="20"/>
    <s v="FISCAL EPS-FULLY DILUTED-YR"/>
    <s v="U:JWN(WC10030)~U$"/>
    <s v="US6556641008"/>
    <s v="U$"/>
    <n v="3.177"/>
    <n v="-4.3890000000000002"/>
    <n v="1.095"/>
    <n v="1.5109999999999999"/>
    <n v="0.82"/>
    <x v="18"/>
  </r>
  <r>
    <x v="1257"/>
    <x v="20"/>
    <s v="ENTERPRISE VALUE"/>
    <s v="U:JWN(WC18100)~U$"/>
    <s v="US6556641008"/>
    <s v="U$"/>
    <n v="7558416"/>
    <n v="8182010"/>
    <n v="6013890"/>
    <n v="5118042"/>
    <n v="5176688"/>
    <x v="18"/>
  </r>
  <r>
    <x v="1258"/>
    <x v="20"/>
    <s v="GROSS INCOME"/>
    <s v="U:JWN(WC01100)~U$"/>
    <s v="US6556641008"/>
    <s v="U$"/>
    <n v="5592000"/>
    <n v="3140000"/>
    <n v="5445000"/>
    <n v="5581000"/>
    <n v="5422000"/>
    <x v="18"/>
  </r>
  <r>
    <x v="1259"/>
    <x v="20"/>
    <s v="INCOME TAXES"/>
    <s v="U:JWN(WC01451)~U$"/>
    <s v="US6556641008"/>
    <s v="U$"/>
    <n v="186000"/>
    <n v="-538000"/>
    <n v="68000"/>
    <n v="92000"/>
    <n v="13000"/>
    <x v="18"/>
  </r>
  <r>
    <x v="1260"/>
    <x v="20"/>
    <s v="INCREASE/DECREASE IN CASH/SHOR"/>
    <s v="U:JWN(WC04851)~U$"/>
    <s v="US6556641008"/>
    <s v="U$"/>
    <n v="-104000"/>
    <n v="-172000"/>
    <n v="-359000"/>
    <n v="365000"/>
    <n v="-59000"/>
    <x v="18"/>
  </r>
  <r>
    <x v="1261"/>
    <x v="20"/>
    <s v="INTEREST EXPENSE ON DEBT"/>
    <s v="U:JWN(WC01251)~U$"/>
    <s v="US6556641008"/>
    <s v="U$"/>
    <n v="151000"/>
    <n v="199000"/>
    <n v="258000"/>
    <n v="150000"/>
    <n v="150000"/>
    <x v="18"/>
  </r>
  <r>
    <x v="1262"/>
    <x v="20"/>
    <s v="TOTAL INVENTORIES"/>
    <s v="U:JWN(WC02101)~U$"/>
    <s v="US6556641008"/>
    <s v="U$"/>
    <n v="1920000"/>
    <n v="1863000"/>
    <n v="2289000"/>
    <n v="1941000"/>
    <n v="1888000"/>
    <x v="18"/>
  </r>
  <r>
    <x v="1263"/>
    <x v="20"/>
    <s v="LONG TERM DEBT"/>
    <s v="U:JWN(WC03251)~U$"/>
    <s v="US6556641008"/>
    <s v="U$"/>
    <n v="2676000"/>
    <n v="2769000"/>
    <n v="2853000"/>
    <n v="2856000"/>
    <n v="2612000"/>
    <x v="18"/>
  </r>
  <r>
    <x v="1264"/>
    <x v="20"/>
    <s v="MARKET CAPITALIZATION"/>
    <s v="U:JWN(WC08001)~U$"/>
    <s v="US6556641008"/>
    <s v="U$"/>
    <n v="6368708"/>
    <n v="4924938"/>
    <n v="3605628"/>
    <n v="2584014"/>
    <n v="2996280"/>
    <x v="18"/>
  </r>
  <r>
    <x v="1265"/>
    <x v="20"/>
    <s v="NET CASH FLOW - FINANCING"/>
    <s v="U:JWN(WC04890)~U$"/>
    <s v="US6556641008"/>
    <s v="U$"/>
    <n v="-431000"/>
    <n v="530000"/>
    <n v="-544000"/>
    <n v="-186000"/>
    <n v="-109000"/>
    <x v="18"/>
  </r>
  <r>
    <x v="1266"/>
    <x v="20"/>
    <s v="NET CASH FLOW - INVESTING"/>
    <s v="U:JWN(WC04870)~U$"/>
    <s v="US6556641008"/>
    <s v="U$"/>
    <n v="909000"/>
    <n v="347000"/>
    <n v="521000"/>
    <n v="393000"/>
    <n v="571000"/>
    <x v="18"/>
  </r>
  <r>
    <x v="1267"/>
    <x v="20"/>
    <s v="NET CASH FLOW-OPERATING ACTIVS"/>
    <s v="U:JWN(WC04860)~U$"/>
    <s v="US6556641008"/>
    <s v="U$"/>
    <n v="1236000"/>
    <n v="-348000"/>
    <n v="705000"/>
    <n v="946000"/>
    <n v="621000"/>
    <x v="18"/>
  </r>
  <r>
    <x v="1268"/>
    <x v="20"/>
    <s v="NET DEBT"/>
    <s v="U:JWN(WC18199)~U$"/>
    <s v="US6556641008"/>
    <s v="U$"/>
    <n v="1823000"/>
    <n v="2588000"/>
    <n v="2531000"/>
    <n v="2169000"/>
    <n v="2234000"/>
    <x v="18"/>
  </r>
  <r>
    <x v="1269"/>
    <x v="20"/>
    <s v="NET INCOME - DILUTED"/>
    <s v="U:JWN(WC01705)~U$"/>
    <s v="US6556641008"/>
    <s v="U$"/>
    <n v="496000"/>
    <n v="-690000"/>
    <n v="178000"/>
    <n v="245000"/>
    <n v="134000"/>
    <x v="18"/>
  </r>
  <r>
    <x v="1270"/>
    <x v="20"/>
    <s v="NET SALES OR REVENUES"/>
    <s v="U:JWN(WC01001)~U$"/>
    <s v="US6556641008"/>
    <s v="U$"/>
    <n v="15524000"/>
    <n v="10715000"/>
    <n v="14789000"/>
    <n v="15530000"/>
    <n v="14693000"/>
    <x v="18"/>
  </r>
  <r>
    <x v="1271"/>
    <x v="20"/>
    <s v="NON-OPERATING INTEREST INCOME"/>
    <s v="U:JWN(WC01266)~U$"/>
    <s v="US6556641008"/>
    <s v="U$"/>
    <n v="10000"/>
    <n v="3000"/>
    <n v="1000"/>
    <n v="10000"/>
    <n v="33000"/>
    <x v="18"/>
  </r>
  <r>
    <x v="1272"/>
    <x v="20"/>
    <s v="OPERATING EXPENSES - TOTAL"/>
    <s v="U:JWN(WC01249)~U$"/>
    <s v="US6556641008"/>
    <s v="U$"/>
    <n v="14740000"/>
    <n v="11537000"/>
    <n v="14297000"/>
    <n v="14995000"/>
    <n v="14126000"/>
    <x v="18"/>
  </r>
  <r>
    <x v="1273"/>
    <x v="20"/>
    <s v="OPERATING INCOME"/>
    <s v="U:JWN(WC01250)~U$"/>
    <s v="US6556641008"/>
    <s v="U$"/>
    <n v="784000"/>
    <n v="-822000"/>
    <n v="492000"/>
    <n v="535000"/>
    <n v="567000"/>
    <x v="18"/>
  </r>
  <r>
    <x v="1274"/>
    <x v="20"/>
    <s v="PRETAX INCOME"/>
    <s v="U:JWN(WC01401)~U$"/>
    <s v="US6556641008"/>
    <s v="U$"/>
    <n v="682000"/>
    <n v="-1228000"/>
    <n v="246000"/>
    <n v="337000"/>
    <n v="147000"/>
    <x v="18"/>
  </r>
  <r>
    <x v="1275"/>
    <x v="20"/>
    <s v="PROPERTY, PLANT &amp; EQUIP - NET"/>
    <s v="U:JWN(WC02501)~U$"/>
    <s v="US6556641008"/>
    <s v="U$"/>
    <n v="5953000"/>
    <n v="5313000"/>
    <n v="5058000"/>
    <n v="4821000"/>
    <n v="4536000"/>
    <x v="18"/>
  </r>
  <r>
    <x v="1276"/>
    <x v="20"/>
    <s v="RECEIVABLES(NET)"/>
    <s v="U:JWN(WC02051)~U$"/>
    <s v="US6556641008"/>
    <s v="U$"/>
    <n v="179000"/>
    <n v="245000"/>
    <n v="255000"/>
    <n v="265000"/>
    <n v="334000"/>
    <x v="18"/>
  </r>
  <r>
    <x v="1277"/>
    <x v="20"/>
    <s v="SELLING, GENERAL &amp; ADMINISTRAT"/>
    <s v="U:JWN(WC01101)~U$"/>
    <s v="US6556641008"/>
    <s v="U$"/>
    <n v="4808000"/>
    <n v="3962000"/>
    <n v="4953000"/>
    <n v="5046000"/>
    <n v="4855000"/>
    <x v="18"/>
  </r>
  <r>
    <x v="1278"/>
    <x v="20"/>
    <s v="SHORT TERM DEBT &amp; CURRENT PORT"/>
    <s v="U:JWN(WC03051)~U$"/>
    <s v="US6556641008"/>
    <s v="U$"/>
    <n v="0"/>
    <n v="500000"/>
    <n v="0"/>
    <n v="0"/>
    <n v="250000"/>
    <x v="18"/>
  </r>
  <r>
    <x v="1279"/>
    <x v="20"/>
    <s v="TOTAL ASSETS"/>
    <s v="U:JWN(WC02999)~U$"/>
    <s v="US6556641008"/>
    <s v="U$"/>
    <n v="9737000"/>
    <n v="9538000"/>
    <n v="8869000"/>
    <n v="8745000"/>
    <n v="8444000"/>
    <x v="18"/>
  </r>
  <r>
    <x v="1280"/>
    <x v="20"/>
    <s v="TOTAL CAPITAL"/>
    <s v="U:JWN(WC03998)~U$"/>
    <s v="US6556641008"/>
    <s v="U$"/>
    <n v="3655000"/>
    <n v="3074000"/>
    <n v="3434000"/>
    <n v="3595000"/>
    <n v="3460000"/>
    <x v="18"/>
  </r>
  <r>
    <x v="1281"/>
    <x v="20"/>
    <s v="TOTAL DEBT"/>
    <s v="U:JWN(WC03255)~U$"/>
    <s v="US6556641008"/>
    <s v="U$"/>
    <n v="2676000"/>
    <n v="3269000"/>
    <n v="2853000"/>
    <n v="2856000"/>
    <n v="2862000"/>
    <x v="18"/>
  </r>
  <r>
    <x v="1282"/>
    <x v="20"/>
    <s v="TOTAL INTANGIBLE OT ASSETS-NET"/>
    <s v="U:JWN(WC02649)~U$"/>
    <s v="US6556641008"/>
    <s v="U$"/>
    <n v="249000"/>
    <n v="249000"/>
    <n v="249000"/>
    <n v="249000"/>
    <n v="249000"/>
    <x v="18"/>
  </r>
  <r>
    <x v="1283"/>
    <x v="20"/>
    <s v="TOTAL LIABILITIES"/>
    <s v="U:JWN(WC03351)~U$"/>
    <s v="US6556641008"/>
    <s v="U$"/>
    <n v="8758000"/>
    <n v="9233000"/>
    <n v="8288000"/>
    <n v="8006000"/>
    <n v="7596000"/>
    <x v="18"/>
  </r>
  <r>
    <x v="1284"/>
    <x v="20"/>
    <s v="TOTAL LIABILITIES &amp; SHAREHOLDE"/>
    <s v="U:JWN(WC03999)~U$"/>
    <s v="US6556641008"/>
    <s v="U$"/>
    <n v="9737000"/>
    <n v="9538000"/>
    <n v="8869000"/>
    <n v="8745000"/>
    <n v="8444000"/>
    <x v="18"/>
  </r>
  <r>
    <x v="1285"/>
    <x v="20"/>
    <s v="TOTAL SHAREHOLDERS EQUITY"/>
    <s v="U:JWN(WC03995)~U$"/>
    <s v="US6556641008"/>
    <s v="U$"/>
    <n v="979000"/>
    <n v="305000"/>
    <n v="581000"/>
    <n v="739000"/>
    <n v="848000"/>
    <x v="18"/>
  </r>
  <r>
    <x v="1286"/>
    <x v="20"/>
    <s v="WORKING CAPITAL"/>
    <s v="U:JWN(WC03151)~U$"/>
    <s v="US6556641008"/>
    <s v="U$"/>
    <n v="-290000"/>
    <n v="-478000"/>
    <n v="-142000"/>
    <n v="219000"/>
    <n v="64000"/>
    <x v="18"/>
  </r>
  <r>
    <x v="1287"/>
    <x v="19"/>
    <s v="BK VAL PS 12M FWD"/>
    <s v="U:JWN(DIBV)~U$"/>
    <s v="US6556641008"/>
    <s v="U$"/>
    <n v="6.6"/>
    <n v="2.83"/>
    <n v="2.69"/>
    <n v="5.72"/>
    <n v="5.93"/>
    <x v="487"/>
  </r>
  <r>
    <x v="1288"/>
    <x v="19"/>
    <s v="EV 12M FWD"/>
    <s v="U:JWN(DIEV)~U$"/>
    <s v="US6556641008"/>
    <s v="U$"/>
    <n v="6694297"/>
    <n v="4452438"/>
    <n v="6621793"/>
    <n v="5704910"/>
    <n v="4405547"/>
    <x v="488"/>
  </r>
  <r>
    <x v="1289"/>
    <x v="19"/>
    <s v="NET INCOME 12M FWD"/>
    <s v="U:JWN(DINI)~U$"/>
    <s v="US6556641008"/>
    <s v="U$"/>
    <n v="517189.9"/>
    <n v="-56583.3"/>
    <n v="327000"/>
    <n v="407676.8"/>
    <n v="323163.3"/>
    <x v="489"/>
  </r>
  <r>
    <x v="1290"/>
    <x v="19"/>
    <s v="PRETAX PRF 12M FWD"/>
    <s v="U:JWN(DINP)~U$"/>
    <s v="US6556641008"/>
    <s v="U$"/>
    <n v="700650.9"/>
    <n v="-114523.4"/>
    <n v="454616.7"/>
    <n v="560849.9"/>
    <n v="427823.5"/>
    <x v="490"/>
  </r>
  <r>
    <x v="1291"/>
    <x v="19"/>
    <s v="ROE 12M FWD"/>
    <s v="U:JWN(DIRE)~U$"/>
    <s v="US6556641008"/>
    <s v="U$"/>
    <n v="74.58"/>
    <n v="8.66"/>
    <n v="76.75"/>
    <n v="49.9"/>
    <n v="34.42"/>
    <x v="491"/>
  </r>
  <r>
    <x v="1292"/>
    <x v="19"/>
    <s v="SALES 12M FWD"/>
    <s v="U:JWN(DISL)~U$"/>
    <s v="US6556641008"/>
    <s v="U$"/>
    <n v="15850000"/>
    <n v="12853940"/>
    <n v="14909580"/>
    <n v="15766130"/>
    <n v="14738500"/>
    <x v="492"/>
  </r>
  <r>
    <x v="1293"/>
    <x v="20"/>
    <s v="DECREASE/INCREASE RECEIVABLES"/>
    <s v="U:JWN(WC04825)~U$"/>
    <s v="US6556641008"/>
    <s v="U$"/>
    <n v="82000"/>
    <n v="-46000"/>
    <n v="-10000"/>
    <n v="23000"/>
    <s v="NA"/>
    <x v="18"/>
  </r>
  <r>
    <x v="1294"/>
    <x v="20"/>
    <s v="DECREASE/INCR OTH ASTS/LIABILT"/>
    <s v="U:JWN(WC04830)~U$"/>
    <s v="US6556641008"/>
    <s v="U$"/>
    <n v="-115000"/>
    <n v="-743000"/>
    <n v="634000"/>
    <n v="167000"/>
    <n v="-106000"/>
    <x v="18"/>
  </r>
  <r>
    <x v="1295"/>
    <x v="20"/>
    <s v="DECREASE/INCREASE INVENTORIES"/>
    <s v="U:JWN(WC04826)~U$"/>
    <s v="US6556641008"/>
    <s v="U$"/>
    <n v="30000"/>
    <n v="53000"/>
    <n v="-383000"/>
    <n v="265000"/>
    <n v="-61000"/>
    <x v="18"/>
  </r>
  <r>
    <x v="1296"/>
    <x v="20"/>
    <s v="DECREASE IN INVESTMENTS"/>
    <s v="U:JWN(WC04440)~U$"/>
    <s v="US6556641008"/>
    <s v="U$"/>
    <n v="0"/>
    <n v="0"/>
    <n v="0"/>
    <n v="0"/>
    <n v="0"/>
    <x v="18"/>
  </r>
  <r>
    <x v="1297"/>
    <x v="21"/>
    <s v="MARKET VALUE"/>
    <s v="U:TLYS(MV)~U$"/>
    <s v="US8868851028"/>
    <s v="U$"/>
    <n v="222.49"/>
    <n v="160.71"/>
    <n v="343.65"/>
    <n v="167.39"/>
    <n v="179.19"/>
    <x v="493"/>
  </r>
  <r>
    <x v="1298"/>
    <x v="21"/>
    <s v="PER"/>
    <s v="U:TLYS(PE)"/>
    <s v="US8868851028"/>
    <s v="U$"/>
    <n v="12.6"/>
    <n v="478"/>
    <n v="10.5"/>
    <n v="6.1"/>
    <s v="NA"/>
    <x v="18"/>
  </r>
  <r>
    <x v="1299"/>
    <x v="21"/>
    <s v="12MTH FORWARD EPS"/>
    <s v="U:TLYS(EPS1FD12)~U$"/>
    <s v="US8868851028"/>
    <s v="U$"/>
    <n v="0.79800000000000004"/>
    <n v="0.30299999999999999"/>
    <n v="1.5029999999999999"/>
    <n v="0.45300000000000001"/>
    <n v="-0.21299999999999999"/>
    <x v="494"/>
  </r>
  <r>
    <x v="1300"/>
    <x v="21"/>
    <e v="#VALUE!"/>
    <s v="529E(U:TLYS)"/>
    <s v="US8868851028"/>
    <s v="U$"/>
    <n v="9.8320000000000007"/>
    <n v="3.95"/>
    <n v="10.29"/>
    <n v="6.4950000000000001"/>
    <n v="-2.714"/>
    <x v="495"/>
  </r>
  <r>
    <x v="1300"/>
    <x v="21"/>
    <e v="#VALUE!"/>
    <s v="384E(U:TLYS)"/>
    <s v="US8868851028"/>
    <s v="U$"/>
    <n v="5.1849999999999996"/>
    <n v="7.2720000000000002"/>
    <n v="4.8559999999999999"/>
    <n v="5.165"/>
    <n v="-11.772"/>
    <x v="496"/>
  </r>
  <r>
    <x v="1300"/>
    <x v="21"/>
    <e v="#VALUE!"/>
    <s v="380E(U:TLYS)"/>
    <s v="US8868851028"/>
    <s v="U$"/>
    <n v="3.0619999999999998"/>
    <n v="2.7429999999999999"/>
    <n v="3.8879999999999999"/>
    <n v="3.1179999999999999"/>
    <n v="-60.143000000000001"/>
    <x v="497"/>
  </r>
  <r>
    <x v="1300"/>
    <x v="21"/>
    <e v="#VALUE!"/>
    <s v="157E(U:TLYS)"/>
    <s v="US8868851028"/>
    <s v="U$"/>
    <n v="8.3208000000000002"/>
    <n v="8.3681999999999999"/>
    <n v="9.5205000000000002"/>
    <n v="2.1798000000000002"/>
    <n v="-1.8121"/>
    <x v="498"/>
  </r>
  <r>
    <x v="1300"/>
    <x v="21"/>
    <e v="#VALUE!"/>
    <s v="388E(U:TLYS)"/>
    <s v="US8868851028"/>
    <s v="U$"/>
    <n v="0.248"/>
    <n v="0.126"/>
    <n v="0.40600000000000003"/>
    <n v="0.157"/>
    <n v="0.218"/>
    <x v="499"/>
  </r>
  <r>
    <x v="1300"/>
    <x v="21"/>
    <e v="#VALUE!"/>
    <s v="334E(U:TLYS)"/>
    <s v="US8868851028"/>
    <s v="U$"/>
    <s v="NA"/>
    <s v="NA"/>
    <s v="NA"/>
    <s v="NA"/>
    <n v="45.168999999999997"/>
    <x v="500"/>
  </r>
  <r>
    <x v="1300"/>
    <x v="21"/>
    <e v="#VALUE!"/>
    <s v="338E(U:TLYS)"/>
    <s v="US8868851028"/>
    <s v="U$"/>
    <s v="NA"/>
    <s v="NA"/>
    <s v="NA"/>
    <s v="NA"/>
    <n v="-0.58699999999999997"/>
    <x v="501"/>
  </r>
  <r>
    <x v="1300"/>
    <x v="21"/>
    <e v="#VALUE!"/>
    <s v="251E(U:TLYS)"/>
    <s v="US8868851028"/>
    <s v="U$"/>
    <n v="0.6"/>
    <n v="1.1299999999999999"/>
    <n v="0.45"/>
    <n v="0.91"/>
    <s v="NA"/>
    <x v="18"/>
  </r>
  <r>
    <x v="1300"/>
    <x v="21"/>
    <e v="#VALUE!"/>
    <s v="250E(U:TLYS)"/>
    <s v="US8868851028"/>
    <s v="U$"/>
    <n v="0.37"/>
    <n v="0.68"/>
    <n v="0.31"/>
    <n v="0.55000000000000004"/>
    <s v="NA"/>
    <x v="18"/>
  </r>
  <r>
    <x v="1300"/>
    <x v="21"/>
    <e v="#VALUE!"/>
    <s v="553E(U:TLYS)"/>
    <s v="US8868851028"/>
    <s v="U$"/>
    <n v="1.3698999999999999"/>
    <n v="1.4446000000000001"/>
    <n v="2.0659000000000001"/>
    <n v="1.198"/>
    <n v="1.55"/>
    <x v="502"/>
  </r>
  <r>
    <x v="1301"/>
    <x v="21"/>
    <s v="12MTH TRAILING EPS"/>
    <s v="U:TLYS(EPS1TR12)~U$"/>
    <s v="US8868851028"/>
    <s v="U$"/>
    <n v="0.76500000000000001"/>
    <n v="2.3E-2"/>
    <n v="1.113"/>
    <n v="0.92700000000000005"/>
    <n v="-0.30299999999999999"/>
    <x v="503"/>
  </r>
  <r>
    <x v="1302"/>
    <x v="21"/>
    <s v="DIV.PER SHR."/>
    <s v="U:TLYS(DPS)~U$"/>
    <s v="US8868851028"/>
    <s v="U$"/>
    <n v="0"/>
    <n v="0"/>
    <n v="0"/>
    <n v="0"/>
    <n v="0"/>
    <x v="14"/>
  </r>
  <r>
    <x v="1300"/>
    <x v="21"/>
    <e v="#VALUE!"/>
    <s v="354E(U:TLYS)"/>
    <s v="US8868851028"/>
    <s v="U$"/>
    <n v="2.5659999999999998"/>
    <n v="2.17"/>
    <n v="2.282"/>
    <n v="0"/>
    <s v="NA"/>
    <x v="18"/>
  </r>
  <r>
    <x v="1299"/>
    <x v="21"/>
    <s v="12MTH FORWARD EPS"/>
    <s v="U:TLYS(EPS1FD12)~U$"/>
    <s v="US8868851028"/>
    <s v="U$"/>
    <n v="0.79800000000000004"/>
    <n v="0.30299999999999999"/>
    <n v="1.5029999999999999"/>
    <n v="0.45300000000000001"/>
    <n v="-0.21299999999999999"/>
    <x v="494"/>
  </r>
  <r>
    <x v="1298"/>
    <x v="21"/>
    <s v="PER"/>
    <s v="U:TLYS(PE)"/>
    <s v="US8868851028"/>
    <s v="U$"/>
    <n v="12.6"/>
    <n v="478"/>
    <n v="10.5"/>
    <n v="6.1"/>
    <s v="NA"/>
    <x v="18"/>
  </r>
  <r>
    <x v="1297"/>
    <x v="21"/>
    <s v="MARKET VALUE"/>
    <s v="U:TLYS(MV)~U$"/>
    <s v="US8868851028"/>
    <s v="U$"/>
    <n v="222.49"/>
    <n v="160.71"/>
    <n v="343.65"/>
    <n v="167.39"/>
    <n v="179.19"/>
    <x v="493"/>
  </r>
  <r>
    <x v="1303"/>
    <x v="21"/>
    <s v="EARNINGS PER SHR"/>
    <s v="U:TLYS(EPS)~U$"/>
    <s v="US8868851028"/>
    <s v="U$"/>
    <n v="0.71"/>
    <n v="0.01"/>
    <n v="1.39"/>
    <n v="1.2"/>
    <n v="0"/>
    <x v="14"/>
  </r>
  <r>
    <x v="1300"/>
    <x v="21"/>
    <e v="#VALUE!"/>
    <s v="897E(U:TLYS)"/>
    <s v="US8868851028"/>
    <s v="NA"/>
    <n v="1.0852999999999999"/>
    <n v="1.6729000000000001"/>
    <n v="1.8004"/>
    <n v="1.5958000000000001"/>
    <n v="1.5177"/>
    <x v="504"/>
  </r>
  <r>
    <x v="1300"/>
    <x v="21"/>
    <e v="#VALUE!"/>
    <s v="400E(U:TLYS)"/>
    <s v="US8868851028"/>
    <s v="NA"/>
    <n v="0.57440000000000002"/>
    <n v="0.6401"/>
    <n v="0.59630000000000005"/>
    <n v="0.57530000000000003"/>
    <n v="0.57850000000000001"/>
    <x v="505"/>
  </r>
  <r>
    <x v="1304"/>
    <x v="22"/>
    <s v="ACCOUNTS PAYABLE"/>
    <s v="U:TLYS(WC03040)~U$"/>
    <s v="US8868851028"/>
    <s v="U$"/>
    <n v="20562"/>
    <n v="24983"/>
    <n v="28144"/>
    <n v="15956"/>
    <n v="14506"/>
    <x v="18"/>
  </r>
  <r>
    <x v="1305"/>
    <x v="22"/>
    <s v="AMORTIZATION OF DEFERRED CHARG"/>
    <s v="U:TLYS(WC01150)~U$"/>
    <s v="US8868851028"/>
    <s v="U$"/>
    <n v="0"/>
    <n v="0"/>
    <n v="0"/>
    <n v="0"/>
    <n v="0"/>
    <x v="18"/>
  </r>
  <r>
    <x v="1306"/>
    <x v="22"/>
    <s v="BOOK VALUE-OUT SHARES-FISCAL"/>
    <s v="U:TLYS(WC05491)~U$"/>
    <s v="US8868851028"/>
    <s v="U$"/>
    <n v="5.3789999999999996"/>
    <n v="5.3929999999999998"/>
    <n v="5.6310000000000002"/>
    <n v="5.9189999999999996"/>
    <n v="4.8259999999999996"/>
    <x v="18"/>
  </r>
  <r>
    <x v="1307"/>
    <x v="22"/>
    <s v="BOOK VALUE PER SHARE"/>
    <s v="U:TLYS(WC05476)~U$"/>
    <s v="US8868851028"/>
    <s v="U$"/>
    <n v="5.3789999999999996"/>
    <n v="5.3929999999999998"/>
    <n v="5.6310000000000002"/>
    <n v="5.9189999999999996"/>
    <n v="4.8259999999999996"/>
    <x v="18"/>
  </r>
  <r>
    <x v="1308"/>
    <x v="22"/>
    <s v="CAPITAL EXPENDITURES"/>
    <s v="U:TLYS(WC04601)~U$"/>
    <s v="US8868851028"/>
    <s v="U$"/>
    <n v="14299"/>
    <n v="8471"/>
    <n v="13425"/>
    <n v="15123"/>
    <n v="13958"/>
    <x v="18"/>
  </r>
  <r>
    <x v="1309"/>
    <x v="22"/>
    <s v="CASH"/>
    <s v="U:TLYS(WC02003)~U$"/>
    <s v="US8868851028"/>
    <s v="U$"/>
    <n v="70137"/>
    <n v="76184"/>
    <n v="42201"/>
    <n v="73526"/>
    <n v="47027"/>
    <x v="18"/>
  </r>
  <r>
    <x v="1310"/>
    <x v="22"/>
    <s v="CASH - GENERIC"/>
    <s v="U:TLYS(WC02005)~U$"/>
    <s v="US8868851028"/>
    <s v="U$"/>
    <n v="139917"/>
    <n v="141139"/>
    <n v="139228"/>
    <n v="113279"/>
    <n v="95048"/>
    <x v="18"/>
  </r>
  <r>
    <x v="1311"/>
    <x v="22"/>
    <s v="CASH &amp; SHORT TERM INVESTMENTS"/>
    <s v="U:TLYS(WC02001)~U$"/>
    <s v="US8868851028"/>
    <s v="U$"/>
    <n v="139917"/>
    <n v="141139"/>
    <n v="139228"/>
    <n v="113279"/>
    <n v="95048"/>
    <x v="18"/>
  </r>
  <r>
    <x v="1312"/>
    <x v="22"/>
    <s v="CASH DIVIDENDS PAID - TOTAL"/>
    <s v="U:TLYS(WC04551)~U$"/>
    <s v="US8868851028"/>
    <s v="U$"/>
    <n v="29453"/>
    <n v="29677"/>
    <n v="61630"/>
    <n v="0"/>
    <n v="0"/>
    <x v="18"/>
  </r>
  <r>
    <x v="1313"/>
    <x v="22"/>
    <s v="CASH FLOW PER SHARE"/>
    <s v="U:TLYS(WC05501)~U$"/>
    <s v="US8868851028"/>
    <s v="U$"/>
    <n v="1.327"/>
    <n v="0.51600000000000001"/>
    <n v="2.69"/>
    <n v="0.94599999999999995"/>
    <n v="-0.316"/>
    <x v="18"/>
  </r>
  <r>
    <x v="1314"/>
    <x v="22"/>
    <s v="CASH FLOW PER SHARE - FIS YR"/>
    <s v="U:TLYS(WC05502)~U$"/>
    <s v="US8868851028"/>
    <s v="U$"/>
    <n v="1.327"/>
    <n v="0.51600000000000001"/>
    <n v="2.69"/>
    <n v="0.94599999999999995"/>
    <n v="-0.316"/>
    <x v="18"/>
  </r>
  <r>
    <x v="1315"/>
    <x v="22"/>
    <s v="COMMON DIVIDENDS (CASH)"/>
    <s v="U:TLYS(WC05376)~U$"/>
    <s v="US8868851028"/>
    <s v="U$"/>
    <n v="29453"/>
    <n v="29677"/>
    <n v="61630"/>
    <n v="0"/>
    <n v="0"/>
    <x v="18"/>
  </r>
  <r>
    <x v="1316"/>
    <x v="22"/>
    <s v="COMMON SHAREHOLDERS' EQUITY"/>
    <s v="U:TLYS(WC03501)~U$"/>
    <s v="US8868851028"/>
    <s v="U$"/>
    <n v="159901"/>
    <n v="160622"/>
    <n v="174713"/>
    <n v="176798"/>
    <n v="144869"/>
    <x v="18"/>
  </r>
  <r>
    <x v="1317"/>
    <x v="22"/>
    <s v="COMMON STOCK"/>
    <s v="U:TLYS(WC03480)~U$"/>
    <s v="US8868851028"/>
    <s v="U$"/>
    <n v="30"/>
    <n v="30"/>
    <n v="31"/>
    <n v="30"/>
    <n v="30"/>
    <x v="18"/>
  </r>
  <r>
    <x v="1318"/>
    <x v="22"/>
    <s v="COST OF GOODS SOLD (EXCL DEP)"/>
    <s v="U:TLYS(WC01051)~U$"/>
    <s v="US8868851028"/>
    <s v="U$"/>
    <n v="411644"/>
    <n v="370039"/>
    <n v="482195"/>
    <n v="455398"/>
    <n v="444592"/>
    <x v="18"/>
  </r>
  <r>
    <x v="1319"/>
    <x v="22"/>
    <s v="CURRENT ASSETS - TOTAL"/>
    <s v="U:TLYS(WC02201)~U$"/>
    <s v="US8868851028"/>
    <s v="U$"/>
    <n v="208864"/>
    <n v="212156"/>
    <n v="227978"/>
    <n v="202398"/>
    <n v="176059"/>
    <x v="18"/>
  </r>
  <r>
    <x v="1320"/>
    <x v="22"/>
    <s v="CURRENT LIABILITIES-TOTAL"/>
    <s v="U:TLYS(WC03101)~U$"/>
    <s v="US8868851028"/>
    <s v="U$"/>
    <n v="145266"/>
    <n v="133559"/>
    <n v="136167"/>
    <n v="108304"/>
    <n v="104557"/>
    <x v="18"/>
  </r>
  <r>
    <x v="1321"/>
    <x v="22"/>
    <s v="DEFERRED TAXES"/>
    <s v="U:TLYS(WC03263)~U$"/>
    <s v="US8868851028"/>
    <s v="U$"/>
    <n v="-6999"/>
    <n v="-11949"/>
    <n v="-11446"/>
    <n v="-8497"/>
    <n v="0"/>
    <x v="18"/>
  </r>
  <r>
    <x v="1322"/>
    <x v="22"/>
    <s v="DEPRECIATION AND DEPLETION"/>
    <s v="U:TLYS(WC04049)~U$"/>
    <s v="US8868851028"/>
    <s v="U$"/>
    <n v="20948"/>
    <n v="19055"/>
    <n v="16836"/>
    <n v="14134"/>
    <n v="12834"/>
    <x v="18"/>
  </r>
  <r>
    <x v="1323"/>
    <x v="22"/>
    <s v="DEPRECIATION/DEPLETION/AMORT"/>
    <s v="U:TLYS(WC01151)~U$"/>
    <s v="US8868851028"/>
    <s v="U$"/>
    <n v="20948"/>
    <n v="19100"/>
    <n v="16836"/>
    <n v="14134"/>
    <n v="12834"/>
    <x v="18"/>
  </r>
  <r>
    <x v="1324"/>
    <x v="22"/>
    <s v="DIVIDENDS PER SHARE"/>
    <s v="U:TLYS(WC05101)~U$"/>
    <s v="US8868851028"/>
    <s v="U$"/>
    <n v="1"/>
    <n v="1"/>
    <n v="2"/>
    <n v="0"/>
    <n v="0"/>
    <x v="18"/>
  </r>
  <r>
    <x v="1325"/>
    <x v="22"/>
    <s v="DIVIDENDS PER SHARE - FISCAL"/>
    <s v="U:TLYS(WC05110)~U$"/>
    <s v="US8868851028"/>
    <s v="U$"/>
    <n v="1"/>
    <n v="1"/>
    <n v="2"/>
    <n v="0"/>
    <n v="0"/>
    <x v="18"/>
  </r>
  <r>
    <x v="1326"/>
    <x v="22"/>
    <s v="EARNINGS BEF INTEREST &amp; TAXES"/>
    <s v="U:TLYS(WC18191)~U$"/>
    <s v="US8868851028"/>
    <s v="U$"/>
    <n v="31356"/>
    <n v="-2459"/>
    <n v="87001"/>
    <n v="13167"/>
    <n v="-25783"/>
    <x v="18"/>
  </r>
  <r>
    <x v="1327"/>
    <x v="22"/>
    <s v="EBIT &amp; DEPRECIATION"/>
    <s v="U:TLYS(WC18198)~U$"/>
    <s v="US8868851028"/>
    <s v="U$"/>
    <n v="52304"/>
    <n v="16641"/>
    <n v="103837"/>
    <n v="27301"/>
    <n v="-12949"/>
    <x v="18"/>
  </r>
  <r>
    <x v="1328"/>
    <x v="22"/>
    <s v="EARNINGS PER SHARE"/>
    <s v="U:TLYS(WC05201)~U$"/>
    <s v="US8868851028"/>
    <s v="U$"/>
    <n v="0.75900000000000001"/>
    <n v="-3.9E-2"/>
    <n v="2.0649999999999999"/>
    <n v="0.31900000000000001"/>
    <n v="-1.1559999999999999"/>
    <x v="18"/>
  </r>
  <r>
    <x v="1329"/>
    <x v="22"/>
    <s v="FISCAL EPS-FULLY DILUTED-YR"/>
    <s v="U:TLYS(WC10030)~U$"/>
    <s v="US8868851028"/>
    <s v="U$"/>
    <n v="0.75900000000000001"/>
    <n v="-3.9E-2"/>
    <n v="2.0649999999999999"/>
    <n v="0.31900000000000001"/>
    <n v="-1.1559999999999999"/>
    <x v="18"/>
  </r>
  <r>
    <x v="1330"/>
    <x v="22"/>
    <s v="ENTERPRISE VALUE"/>
    <s v="U:TLYS(WC18100)~U$"/>
    <s v="US8868851028"/>
    <s v="U$"/>
    <n v="112780"/>
    <n v="150734"/>
    <n v="256031"/>
    <n v="146573"/>
    <n v="130702"/>
    <x v="18"/>
  </r>
  <r>
    <x v="1331"/>
    <x v="22"/>
    <s v="GROSS INCOME"/>
    <s v="U:TLYS(WC01100)~U$"/>
    <s v="US8868851028"/>
    <s v="U$"/>
    <n v="186708"/>
    <n v="142190"/>
    <n v="276663"/>
    <n v="202748"/>
    <n v="165657"/>
    <x v="18"/>
  </r>
  <r>
    <x v="1332"/>
    <x v="22"/>
    <s v="INCOME TAXES"/>
    <s v="U:TLYS(WC01451)~U$"/>
    <s v="US8868851028"/>
    <s v="U$"/>
    <n v="8734"/>
    <n v="-1314"/>
    <n v="22752"/>
    <n v="3490"/>
    <n v="8709"/>
    <x v="18"/>
  </r>
  <r>
    <x v="1333"/>
    <x v="22"/>
    <s v="INCREASE/DECREASE IN CASH/SHOR"/>
    <s v="U:TLYS(WC04851)~U$"/>
    <s v="US8868851028"/>
    <s v="U$"/>
    <n v="1977"/>
    <n v="6047"/>
    <n v="-33983"/>
    <n v="31325"/>
    <n v="-26499"/>
    <x v="18"/>
  </r>
  <r>
    <x v="1334"/>
    <x v="22"/>
    <s v="INTEREST EXPENSE ON DEBT"/>
    <s v="U:TLYS(WC01251)~U$"/>
    <s v="US8868851028"/>
    <s v="U$"/>
    <n v="0"/>
    <n v="0"/>
    <n v="0"/>
    <n v="0"/>
    <n v="0"/>
    <x v="18"/>
  </r>
  <r>
    <x v="1335"/>
    <x v="22"/>
    <s v="TOTAL INVENTORIES"/>
    <s v="U:TLYS(WC02101)~U$"/>
    <s v="US8868851028"/>
    <s v="U$"/>
    <n v="56901"/>
    <n v="55698"/>
    <n v="65645"/>
    <n v="62117"/>
    <n v="63159"/>
    <x v="18"/>
  </r>
  <r>
    <x v="1336"/>
    <x v="22"/>
    <s v="LONG TERM DEBT"/>
    <s v="U:TLYS(WC03251)~U$"/>
    <s v="US8868851028"/>
    <s v="U$"/>
    <n v="0"/>
    <n v="0"/>
    <n v="0"/>
    <n v="0"/>
    <n v="0"/>
    <x v="18"/>
  </r>
  <r>
    <x v="1337"/>
    <x v="22"/>
    <s v="MARKET CAPITALIZATION"/>
    <s v="U:TLYS(WC08001)~U$"/>
    <s v="US8868851028"/>
    <s v="U$"/>
    <n v="364180"/>
    <n v="243029"/>
    <n v="499813"/>
    <n v="270305"/>
    <n v="226351"/>
    <x v="18"/>
  </r>
  <r>
    <x v="1338"/>
    <x v="22"/>
    <s v="NET CASH FLOW - FINANCING"/>
    <s v="U:TLYS(WC04890)~U$"/>
    <s v="US8868851028"/>
    <s v="U$"/>
    <n v="-27948"/>
    <n v="-29653"/>
    <n v="-52057"/>
    <n v="-10065"/>
    <n v="227"/>
    <x v="18"/>
  </r>
  <r>
    <x v="1339"/>
    <x v="22"/>
    <s v="NET CASH FLOW - INVESTING"/>
    <s v="U:TLYS(WC04870)~U$"/>
    <s v="US8868851028"/>
    <s v="U$"/>
    <n v="6509"/>
    <n v="3197"/>
    <n v="45328"/>
    <n v="-42805"/>
    <n v="19993"/>
    <x v="18"/>
  </r>
  <r>
    <x v="1340"/>
    <x v="22"/>
    <s v="NET CASH FLOW-OPERATING ACTIVS"/>
    <s v="U:TLYS(WC04860)~U$"/>
    <s v="US8868851028"/>
    <s v="U$"/>
    <n v="36434"/>
    <n v="38897"/>
    <n v="63402"/>
    <n v="-1415"/>
    <n v="-6733"/>
    <x v="18"/>
  </r>
  <r>
    <x v="1341"/>
    <x v="22"/>
    <s v="NET DEBT"/>
    <s v="U:TLYS(WC18199)~U$"/>
    <s v="US8868851028"/>
    <s v="U$"/>
    <n v="-139917"/>
    <n v="-141139"/>
    <n v="-139228"/>
    <n v="-113279"/>
    <n v="-95048"/>
    <x v="18"/>
  </r>
  <r>
    <x v="1342"/>
    <x v="22"/>
    <s v="NET INCOME - DILUTED"/>
    <s v="U:TLYS(WC01705)~U$"/>
    <s v="US8868851028"/>
    <s v="U$"/>
    <n v="22622"/>
    <n v="-1145"/>
    <n v="64249"/>
    <n v="9677"/>
    <n v="-34492"/>
    <x v="18"/>
  </r>
  <r>
    <x v="1343"/>
    <x v="22"/>
    <s v="NET SALES OR REVENUES"/>
    <s v="U:TLYS(WC01001)~U$"/>
    <s v="US8868851028"/>
    <s v="U$"/>
    <n v="619300"/>
    <n v="531329"/>
    <n v="775694"/>
    <n v="672280"/>
    <n v="623083"/>
    <x v="18"/>
  </r>
  <r>
    <x v="1344"/>
    <x v="22"/>
    <s v="OPERATING EXPENSES - TOTAL"/>
    <s v="U:TLYS(WC01249)~U$"/>
    <s v="US8868851028"/>
    <s v="U$"/>
    <n v="590545"/>
    <n v="533369"/>
    <n v="687999"/>
    <n v="661076"/>
    <n v="650665"/>
    <x v="18"/>
  </r>
  <r>
    <x v="1345"/>
    <x v="22"/>
    <s v="OPERATING INCOME"/>
    <s v="U:TLYS(WC01250)~U$"/>
    <s v="US8868851028"/>
    <s v="U$"/>
    <n v="28755"/>
    <n v="-2040"/>
    <n v="87695"/>
    <n v="11204"/>
    <n v="-27582"/>
    <x v="18"/>
  </r>
  <r>
    <x v="1346"/>
    <x v="22"/>
    <s v="PRETAX INCOME"/>
    <s v="U:TLYS(WC01401)~U$"/>
    <s v="US8868851028"/>
    <s v="U$"/>
    <n v="31356"/>
    <n v="-2459"/>
    <n v="87001"/>
    <n v="13167"/>
    <n v="-25783"/>
    <x v="18"/>
  </r>
  <r>
    <x v="1347"/>
    <x v="22"/>
    <s v="PROPERTY, PLANT &amp; EQUIP - NET"/>
    <s v="U:TLYS(WC02501)~U$"/>
    <s v="US8868851028"/>
    <s v="U$"/>
    <n v="329825"/>
    <n v="280520"/>
    <n v="264038"/>
    <n v="263480"/>
    <n v="251888"/>
    <x v="18"/>
  </r>
  <r>
    <x v="1348"/>
    <x v="22"/>
    <s v="RECEIVABLES(NET)"/>
    <s v="U:TLYS(WC02051)~U$"/>
    <s v="US8868851028"/>
    <s v="U$"/>
    <n v="7485"/>
    <n v="8724"/>
    <n v="6705"/>
    <n v="9240"/>
    <n v="5947"/>
    <x v="18"/>
  </r>
  <r>
    <x v="1349"/>
    <x v="22"/>
    <s v="SELLING, GENERAL &amp; ADMINISTRAT"/>
    <s v="U:TLYS(WC01101)~U$"/>
    <s v="US8868851028"/>
    <s v="U$"/>
    <n v="157953"/>
    <n v="144230"/>
    <n v="188968"/>
    <n v="191544"/>
    <n v="193239"/>
    <x v="18"/>
  </r>
  <r>
    <x v="1350"/>
    <x v="22"/>
    <s v="SHORT TERM DEBT &amp; CURRENT PORT"/>
    <s v="U:TLYS(WC03051)~U$"/>
    <s v="US8868851028"/>
    <s v="U$"/>
    <n v="0"/>
    <n v="0"/>
    <n v="0"/>
    <n v="0"/>
    <n v="0"/>
    <x v="18"/>
  </r>
  <r>
    <x v="1351"/>
    <x v="22"/>
    <s v="TOTAL ASSETS"/>
    <s v="U:TLYS(WC02999)~U$"/>
    <s v="US8868851028"/>
    <s v="U$"/>
    <n v="539641"/>
    <n v="493524"/>
    <n v="493377"/>
    <n v="467255"/>
    <n v="429545"/>
    <x v="18"/>
  </r>
  <r>
    <x v="1352"/>
    <x v="22"/>
    <s v="TOTAL CAPITAL"/>
    <s v="U:TLYS(WC03998)~U$"/>
    <s v="US8868851028"/>
    <s v="U$"/>
    <n v="159901"/>
    <n v="160622"/>
    <n v="174713"/>
    <n v="176798"/>
    <n v="144869"/>
    <x v="18"/>
  </r>
  <r>
    <x v="1353"/>
    <x v="22"/>
    <s v="TOTAL DEBT"/>
    <s v="U:TLYS(WC03255)~U$"/>
    <s v="US8868851028"/>
    <s v="U$"/>
    <n v="0"/>
    <n v="0"/>
    <n v="0"/>
    <n v="0"/>
    <n v="0"/>
    <x v="18"/>
  </r>
  <r>
    <x v="1354"/>
    <x v="22"/>
    <s v="TOTAL INTANGIBLE OT ASSETS-NET"/>
    <s v="U:TLYS(WC02649)~U$"/>
    <s v="US8868851028"/>
    <s v="U$"/>
    <n v="0"/>
    <n v="0"/>
    <n v="0"/>
    <n v="0"/>
    <n v="0"/>
    <x v="18"/>
  </r>
  <r>
    <x v="1355"/>
    <x v="22"/>
    <s v="TOTAL LIABILITIES"/>
    <s v="U:TLYS(WC03351)~U$"/>
    <s v="US8868851028"/>
    <s v="U$"/>
    <n v="379740"/>
    <n v="332902"/>
    <n v="318664"/>
    <n v="290457"/>
    <n v="284676"/>
    <x v="18"/>
  </r>
  <r>
    <x v="1356"/>
    <x v="22"/>
    <s v="TOTAL LIABILITIES &amp; SHAREHOLDE"/>
    <s v="U:TLYS(WC03999)~U$"/>
    <s v="US8868851028"/>
    <s v="U$"/>
    <n v="539641"/>
    <n v="493524"/>
    <n v="493377"/>
    <n v="467255"/>
    <n v="429545"/>
    <x v="18"/>
  </r>
  <r>
    <x v="1357"/>
    <x v="22"/>
    <s v="TOTAL SHAREHOLDERS EQUITY"/>
    <s v="U:TLYS(WC03995)~U$"/>
    <s v="US8868851028"/>
    <s v="U$"/>
    <n v="159901"/>
    <n v="160622"/>
    <n v="174713"/>
    <n v="176798"/>
    <n v="144869"/>
    <x v="18"/>
  </r>
  <r>
    <x v="1358"/>
    <x v="22"/>
    <s v="WORKING CAPITAL"/>
    <s v="U:TLYS(WC03151)~U$"/>
    <s v="US8868851028"/>
    <s v="U$"/>
    <n v="63598"/>
    <n v="78597"/>
    <n v="91811"/>
    <n v="94094"/>
    <n v="71502"/>
    <x v="18"/>
  </r>
  <r>
    <x v="1359"/>
    <x v="21"/>
    <s v="BK VAL PS 12M FWD"/>
    <s v="U:TLYS(DIBV)~U$"/>
    <s v="US8868851028"/>
    <s v="U$"/>
    <n v="6.53"/>
    <n v="4.96"/>
    <n v="7.03"/>
    <n v="6.13"/>
    <n v="5.0999999999999996"/>
    <x v="506"/>
  </r>
  <r>
    <x v="1360"/>
    <x v="21"/>
    <s v="EV 12M FWD"/>
    <s v="U:TLYS(DIEV)~U$"/>
    <s v="US8868851028"/>
    <s v="U$"/>
    <n v="211208.3"/>
    <n v="104920"/>
    <n v="351636.8"/>
    <n v="108510"/>
    <n v="181583.3"/>
    <x v="507"/>
  </r>
  <r>
    <x v="1361"/>
    <x v="21"/>
    <s v="NET INCOME 12M FWD"/>
    <s v="U:TLYS(DINI)~U$"/>
    <s v="US8868851028"/>
    <s v="U$"/>
    <n v="23935"/>
    <n v="9143.33"/>
    <n v="46896.67"/>
    <n v="15490"/>
    <n v="-6310"/>
    <x v="508"/>
  </r>
  <r>
    <x v="1362"/>
    <x v="21"/>
    <s v="PRETAX PRF 12M FWD"/>
    <s v="U:TLYS(DINP)~U$"/>
    <s v="US8868851028"/>
    <s v="U$"/>
    <n v="32811.660000000003"/>
    <n v="11560"/>
    <n v="58849.99"/>
    <n v="21233.34"/>
    <n v="-8566.66"/>
    <x v="509"/>
  </r>
  <r>
    <x v="1363"/>
    <x v="21"/>
    <s v="ROE 12M FWD"/>
    <s v="U:TLYS(DIRE)~U$"/>
    <s v="US8868851028"/>
    <s v="U$"/>
    <n v="13.49"/>
    <n v="6.28"/>
    <n v="23.54"/>
    <n v="7.59"/>
    <s v="NA"/>
    <x v="18"/>
  </r>
  <r>
    <x v="1364"/>
    <x v="21"/>
    <s v="SALES 12M FWD"/>
    <s v="U:TLYS(DISL)~U$"/>
    <s v="US8868851028"/>
    <s v="U$"/>
    <n v="642110.1"/>
    <n v="575000"/>
    <n v="764630.1"/>
    <n v="685773.4"/>
    <n v="649636.80000000005"/>
    <x v="510"/>
  </r>
  <r>
    <x v="1365"/>
    <x v="22"/>
    <s v="DECREASE/INCREASE RECEIVABLES"/>
    <s v="U:TLYS(WC04825)~U$"/>
    <s v="US8868851028"/>
    <s v="U$"/>
    <n v="3204"/>
    <n v="96"/>
    <n v="4023"/>
    <n v="1710"/>
    <n v="5563"/>
    <x v="18"/>
  </r>
  <r>
    <x v="1366"/>
    <x v="22"/>
    <s v="DECREASE/INCR OTH ASTS/LIABILT"/>
    <s v="U:TLYS(WC04830)~U$"/>
    <s v="US8868851028"/>
    <s v="U$"/>
    <n v="1945"/>
    <n v="9"/>
    <n v="-7383"/>
    <n v="-3629"/>
    <n v="3860"/>
    <x v="18"/>
  </r>
  <r>
    <x v="1367"/>
    <x v="22"/>
    <s v="DECREASE/INCREASE INVENTORIES"/>
    <s v="U:TLYS(WC04826)~U$"/>
    <s v="US8868851028"/>
    <s v="U$"/>
    <n v="-1092"/>
    <n v="1203"/>
    <n v="-10064"/>
    <n v="3505"/>
    <n v="-1042"/>
    <x v="18"/>
  </r>
  <r>
    <x v="1368"/>
    <x v="22"/>
    <s v="DECREASE IN INVESTMENTS"/>
    <s v="U:TLYS(WC04440)~U$"/>
    <s v="US8868851028"/>
    <s v="U$"/>
    <n v="134316"/>
    <n v="86170"/>
    <n v="130352"/>
    <n v="147271"/>
    <n v="115000"/>
    <x v="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x v="0"/>
    <n v="10000"/>
  </r>
  <r>
    <x v="0"/>
    <x v="1"/>
    <n v="25000"/>
  </r>
  <r>
    <x v="1"/>
    <x v="2"/>
    <n v="13000"/>
  </r>
  <r>
    <x v="1"/>
    <x v="3"/>
    <n v="15000"/>
  </r>
  <r>
    <x v="1"/>
    <x v="0"/>
    <n v="17000"/>
  </r>
  <r>
    <x v="1"/>
    <x v="1"/>
    <n v="18000"/>
  </r>
  <r>
    <x v="2"/>
    <x v="2"/>
    <n v="23000"/>
  </r>
  <r>
    <x v="2"/>
    <x v="3"/>
    <n v="27000"/>
  </r>
  <r>
    <x v="2"/>
    <x v="0"/>
    <n v="42000"/>
  </r>
  <r>
    <x v="2"/>
    <x v="1"/>
    <n v="52000"/>
  </r>
  <r>
    <x v="3"/>
    <x v="2"/>
    <n v="75000"/>
  </r>
  <r>
    <x v="3"/>
    <x v="3"/>
    <n v="80000"/>
  </r>
  <r>
    <x v="3"/>
    <x v="0"/>
    <n v="118000"/>
  </r>
  <r>
    <x v="3"/>
    <x v="1"/>
    <n v="125000"/>
  </r>
  <r>
    <x v="4"/>
    <x v="2"/>
    <n v="162000"/>
  </r>
  <r>
    <x v="4"/>
    <x v="3"/>
    <n v="155000"/>
  </r>
  <r>
    <x v="4"/>
    <x v="0"/>
    <n v="197000"/>
  </r>
  <r>
    <x v="4"/>
    <x v="1"/>
    <n v="188000"/>
  </r>
  <r>
    <x v="5"/>
    <x v="2"/>
    <n v="240000"/>
  </r>
  <r>
    <x v="5"/>
    <x v="3"/>
    <n v="237000"/>
  </r>
  <r>
    <x v="5"/>
    <x v="0"/>
    <n v="285000"/>
  </r>
  <r>
    <x v="5"/>
    <x v="1"/>
    <n v="292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1D4D3-B096-7847-B0AE-1F447D2F1E6B}" name="PivotTable4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 chartFormat="7">
  <location ref="E3:F32" firstHeaderRow="1" firstDataRow="1" firstDataCol="1"/>
  <pivotFields count="3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5">
        <item x="2"/>
        <item x="3"/>
        <item x="0"/>
        <item x="1"/>
        <item t="default"/>
      </items>
    </pivotField>
    <pivotField dataField="1" showAll="0"/>
  </pivotFields>
  <rowFields count="2">
    <field x="0"/>
    <field x="1"/>
  </rowFields>
  <rowItems count="29">
    <i>
      <x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Subscribers" fld="2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322DF6-4CC1-544C-9409-EE96900F7B54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O3:Q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9DFF420-406D-0F46-A31E-39922F501408}" name="Table19" displayName="Table19" ref="B15:C27" totalsRowShown="0">
  <autoFilter ref="B15:C27" xr:uid="{79DFF420-406D-0F46-A31E-39922F501408}"/>
  <tableColumns count="2">
    <tableColumn id="1" xr3:uid="{BBB60BAA-585A-2C4E-B42F-4A6DA364EB9F}" name="Column1"/>
    <tableColumn id="2" xr3:uid="{870EB381-5A03-6849-8050-C453C58B38CF}" name="Column2"/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7FF323-9B5B-CE4C-936F-A0939246FD6B}" name="Table17" displayName="Table17" ref="B146:C153" totalsRowShown="0" headerRowDxfId="18">
  <autoFilter ref="B146:C153" xr:uid="{447FF323-9B5B-CE4C-936F-A0939246FD6B}"/>
  <tableColumns count="2">
    <tableColumn id="1" xr3:uid="{2D4D9F08-5609-E148-9A44-42095F4DAEDE}" name="Year" dataDxfId="17"/>
    <tableColumn id="2" xr3:uid="{16F77870-9013-D046-AC5F-171CAEA379CB}" name="U.S. Consumer Credit Card Debt" dataDxfId="16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F27B56B-9980-D342-8825-9944F096982C}" name="Table18" displayName="Table18" ref="B161:C186" totalsRowShown="0" headerRowDxfId="15">
  <autoFilter ref="B161:C186" xr:uid="{CF27B56B-9980-D342-8825-9944F096982C}"/>
  <sortState xmlns:xlrd2="http://schemas.microsoft.com/office/spreadsheetml/2017/richdata2" ref="B162:C184">
    <sortCondition ref="B161:B184"/>
  </sortState>
  <tableColumns count="2">
    <tableColumn id="1" xr3:uid="{4979ADDC-B11D-794B-A3E3-B4B7A4222DB3}" name="Year"/>
    <tableColumn id="2" xr3:uid="{ABC040B5-3F33-D34A-8E73-F7ACAB7831D4}" name="Inflation Rate" dataDxfId="14" dataCellStyle="Per cent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DD07BDB-950E-AE41-9749-FF13247418CB}" name="Table3" displayName="Table3" ref="A1:L1714" totalsRowShown="0" headerRowDxfId="13" dataDxfId="12">
  <autoFilter ref="A1:L1714" xr:uid="{1EE24196-D3B8-9F43-9F4A-8D11ACB97D88}">
    <filterColumn colId="2">
      <filters>
        <filter val="12MTH TRAILING EPS"/>
        <filter val="CAPITAL EXPENDITURES"/>
        <filter val="CASH &amp; SHORT TERM INVESTMENTS"/>
        <filter val="COMMON STOCK"/>
        <filter val="CURRENT ASSETS - TOTAL"/>
        <filter val="CURRENT LIABILITIES-TOTAL"/>
        <filter val="DEPRECIATION/DEPLETION/AMORT"/>
        <filter val="EARNINGS BEF INTEREST &amp; TAXES"/>
        <filter val="GROSS INCOME"/>
        <filter val="INCOME TAXES"/>
        <filter val="INTEREST EXPENSE ON DEBT"/>
        <filter val="LONG TERM DEBT"/>
        <filter val="NET INCOME - DILUTED"/>
        <filter val="NET SALES OR REVENUES"/>
        <filter val="OPERATING INCOME"/>
        <filter val="SELLING, GENERAL &amp; ADMINISTRAT"/>
        <filter val="TOTAL ASSETS"/>
        <filter val="TOTAL DEBT"/>
        <filter val="TOTAL LIABILITIES"/>
      </filters>
    </filterColumn>
  </autoFilter>
  <tableColumns count="12">
    <tableColumn id="1" xr3:uid="{D2425E92-8E98-2944-91AE-6A45F0C39219}" name="Statement Code" dataDxfId="11"/>
    <tableColumn id="2" xr3:uid="{2C2A3AA4-0559-D34A-A06F-FE6CDF4EEF66}" name="Company" dataDxfId="10">
      <calculatedColumnFormula>LEFT(A2,FIND(" ",A2))</calculatedColumnFormula>
    </tableColumn>
    <tableColumn id="3" xr3:uid="{CFA51893-77EA-EC4C-AF2B-990E8C53A8DF}" name="Value Type" dataDxfId="9">
      <calculatedColumnFormula>MID(Table3[[#This Row],[Statement Code]],FIND("- ",Table3[[#This Row],[Statement Code]])+2,100)</calculatedColumnFormula>
    </tableColumn>
    <tableColumn id="4" xr3:uid="{3FD7E8BC-2E78-CF49-A9D0-E326B9029683}" name="Code" dataDxfId="8"/>
    <tableColumn id="5" xr3:uid="{7EE14B86-D621-DE4C-B7A5-6D4648C13EE0}" name="ISIN" dataDxfId="7"/>
    <tableColumn id="6" xr3:uid="{42D65F9A-E92E-F44F-8AFF-A073EC0C6E47}" name="CURRENCY" dataDxfId="6"/>
    <tableColumn id="7" xr3:uid="{F80CFEFC-454B-344B-AE57-78BA16CD0491}" name="2019" dataDxfId="5"/>
    <tableColumn id="8" xr3:uid="{AA773D2D-EBCD-A446-BDA0-775FC8369728}" name="2020" dataDxfId="4"/>
    <tableColumn id="9" xr3:uid="{B4373BA4-0197-884C-A387-280214E24808}" name="2021" dataDxfId="3"/>
    <tableColumn id="10" xr3:uid="{446B2EC7-E533-B84A-AED4-2D0EA7A37C81}" name="2022" dataDxfId="2"/>
    <tableColumn id="11" xr3:uid="{FB7CC6FB-E424-994E-B5F6-D034A1085CBA}" name="2023" dataDxfId="1"/>
    <tableColumn id="12" xr3:uid="{652F9031-6B38-3D42-B467-3C319429161A}" name="2024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FE23C5D-8FD1-6C41-9EB7-632D33CBBAE3}" name="Table7" displayName="Table7" ref="A3:C25" totalsRowShown="0">
  <autoFilter ref="A3:C25" xr:uid="{FFE23C5D-8FD1-6C41-9EB7-632D33CBBAE3}"/>
  <tableColumns count="3">
    <tableColumn id="2" xr3:uid="{D2A50CB9-A1DB-D748-BE0D-314E69DD8454}" name="Year"/>
    <tableColumn id="3" xr3:uid="{6DBFABEF-DB17-7545-A24F-840598FE7FAF}" name="Quarter"/>
    <tableColumn id="4" xr3:uid="{F3F5CB97-5307-AA45-AB2B-26BAFC7ED2BB}" name="Subscribers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8601D2B-718F-EF42-8530-27A9F3A0DDBA}" name="Table8" displayName="Table8" ref="B52:M99" totalsRowShown="0" headerRowDxfId="35" dataDxfId="34">
  <autoFilter ref="B52:M99" xr:uid="{88601D2B-718F-EF42-8530-27A9F3A0DDBA}"/>
  <tableColumns count="12">
    <tableColumn id="1" xr3:uid="{6B15C902-05F6-B242-B151-E2A25A10DF8C}" name="Year" dataDxfId="33"/>
    <tableColumn id="2" xr3:uid="{2DE34B4A-9453-1745-811A-70D0E9DA6E23}" name="All items" dataDxfId="32"/>
    <tableColumn id="3" xr3:uid="{B8CF6E16-BB71-ED41-8AB1-0A57316C7CFD}" name="Apparel (total)" dataDxfId="31"/>
    <tableColumn id="4" xr3:uid="{4FC40489-9AB9-DC49-984D-1FDE10047ED6}" name="Women's apparel" dataDxfId="30"/>
    <tableColumn id="5" xr3:uid="{C96F2FED-0451-F842-AEDD-F3E043BA9956}" name="Girls' apparel" dataDxfId="29"/>
    <tableColumn id="6" xr3:uid="{432A28FD-5787-5C42-B5B3-693ABB808CA4}" name="Men's apparel" dataDxfId="28"/>
    <tableColumn id="7" xr3:uid="{F33962FF-E0E9-E745-B2A1-2A8B7B475814}" name="Boys' apparel" dataDxfId="27"/>
    <tableColumn id="8" xr3:uid="{7CDAD421-5DA1-6D49-BE75-72E83C991DC1}" name="Women's footwear" dataDxfId="26"/>
    <tableColumn id="9" xr3:uid="{BDA698CA-C55C-3B45-A149-3BF13795995E}" name="Men's footwear" dataDxfId="25"/>
    <tableColumn id="10" xr3:uid="{A7466DE3-B642-874F-B4F8-6A15D2F5E143}" name="Boys' and girls' footwear" dataDxfId="24"/>
    <tableColumn id="11" xr3:uid="{DC91EB2E-3667-5C4A-95E1-B4343FB4ACA4}" name="Jewelry" dataDxfId="23"/>
    <tableColumn id="12" xr3:uid="{13B45D5E-A44B-7243-B091-A7089AC25960}" name="Watches" dataDxfId="22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B0CBE7E-2617-3947-849E-51BC2722328D}" name="Table10" displayName="Table10" ref="B42:C48" totalsRowShown="0">
  <autoFilter ref="B42:C48" xr:uid="{4B0CBE7E-2617-3947-849E-51BC2722328D}"/>
  <tableColumns count="2">
    <tableColumn id="1" xr3:uid="{111C4418-AE54-0747-894B-C3A43B6DE912}" name="Expenditure category"/>
    <tableColumn id="2" xr3:uid="{35E7694A-2257-354B-ACBA-D3FBA214365F}" name="Expenditure (U,S, dollars)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7C200A5-D806-194C-B2E9-F88D23786114}" name="Table11" displayName="Table11" ref="B19:E32" totalsRowShown="0">
  <autoFilter ref="B19:E32" xr:uid="{F7C200A5-D806-194C-B2E9-F88D23786114}"/>
  <tableColumns count="4">
    <tableColumn id="1" xr3:uid="{757E26D2-2D27-DA47-A1AC-C0A4F59EE462}" name="Region"/>
    <tableColumn id="2" xr3:uid="{500C3A8B-8887-2E4C-A267-94C52032AC49}" name="Country"/>
    <tableColumn id="3" xr3:uid="{384782E9-FCFF-064C-B1E4-B6A67A020F1A}" name="Market size"/>
    <tableColumn id="4" xr3:uid="{761C4FD7-5607-8441-929F-3789C6C8EBDE}" name="Market share (2024)" dataCellStyle="Per cent">
      <calculatedColumnFormula>Table11[[#This Row],[Market size]]/($C$11*1000)</calculatedColumnFormula>
    </tableColumn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E768A24-2EFD-5D49-BE45-AFA3DAB3FB01}" name="Table12" displayName="Table12" ref="B36:E38" totalsRowShown="0">
  <autoFilter ref="B36:E38" xr:uid="{7E768A24-2EFD-5D49-BE45-AFA3DAB3FB01}"/>
  <tableColumns count="4">
    <tableColumn id="1" xr3:uid="{9FB90BB8-46C2-6045-A1EE-AE3B910C31DB}" name="Year"/>
    <tableColumn id="2" xr3:uid="{70394BA4-8C3A-4E40-B881-26A9D1ABEA03}" name="Women's"/>
    <tableColumn id="3" xr3:uid="{59902D1E-13CC-B24B-8320-FF1118FE8314}" name="Men's"/>
    <tableColumn id="4" xr3:uid="{21AB5308-17B0-9F43-8054-AF992682EB7C}" name="Children's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9ADBEC0-7EE2-8C4A-9FB4-0E7A8551C9B9}" name="Table13" displayName="Table13" ref="B4:C15" totalsRowShown="0">
  <autoFilter ref="B4:C15" xr:uid="{A9ADBEC0-7EE2-8C4A-9FB4-0E7A8551C9B9}"/>
  <tableColumns count="2">
    <tableColumn id="1" xr3:uid="{22F42FFA-4F21-A344-A2F2-13D0039D3FFE}" name="Year"/>
    <tableColumn id="2" xr3:uid="{409AAD89-D8C7-9841-915C-D225DEA5E1BB}" name="Market size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E1A7925-B014-4A49-A114-111965B06D34}" name="Table14" displayName="Table14" ref="B104:D112" totalsRowShown="0">
  <autoFilter ref="B104:D112" xr:uid="{5E1A7925-B014-4A49-A114-111965B06D34}"/>
  <tableColumns count="3">
    <tableColumn id="1" xr3:uid="{2374C196-D067-A745-BB3D-AA52790DF442}" name="Year"/>
    <tableColumn id="2" xr3:uid="{D164783E-2163-5B4C-BCF9-7E66C1049292}" name="Nominal GDP (USD Trillions)" dataDxfId="21">
      <calculatedColumnFormula>C104*(1+D104)</calculatedColumnFormula>
    </tableColumn>
    <tableColumn id="3" xr3:uid="{C6A9E306-7FEA-174F-BC32-2A5A217E7C10}" name="Real GDP Growth Rate (%)" dataDxfId="20" dataCellStyle="Per cent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D4D3D99-440F-C64D-9A00-37901DD85217}" name="Table16" displayName="Table16" ref="B117:D142" totalsRowCount="1">
  <autoFilter ref="B117:D141" xr:uid="{9D4D3D99-440F-C64D-9A00-37901DD85217}"/>
  <tableColumns count="3">
    <tableColumn id="1" xr3:uid="{DF9C50CF-0AE9-B44C-AA49-961E488F5867}" name="Competitor" totalsRowLabel="Total"/>
    <tableColumn id="2" xr3:uid="{AEE1C2F0-30E6-8F47-B440-84377902B3C7}" name="Revenue" totalsRowFunction="sum"/>
    <tableColumn id="3" xr3:uid="{FE6DCE3E-DB69-1C49-B7D4-C38B13B75D46}" name="Share" totalsRowFunction="average" dataDxfId="19" dataCellStyle="Per cent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B01AB02-9753-804A-8EF2-C2514C40EE24}">
  <we:reference id="wa200001365" version="2.5.0.0" store="en-US" storeType="OMEX"/>
  <we:alternateReferences>
    <we:reference id="wa200001365" version="2.5.0.0" store="en-U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_xldudf_ALPHAVANTAGE_EQUITYQUOTE</we:customFunctionIds>
        <we:customFunctionIds>_xldudf_ALPHAVANTAGE_EQUITYTIMESERIES</we:customFunctionIds>
        <we:customFunctionIds>_xldudf_ALPHAVANTAGE_INTRADAYEQUITYSERIESUPDATING</we:customFunctionIds>
        <we:customFunctionIds>_xldudf_ALPHAVANTAGE_EXCHANGERATE</we:customFunctionIds>
        <we:customFunctionIds>_xldudf_ALPHAVANTAGE_EXCHANGERATEUPDATING</we:customFunctionIds>
        <we:customFunctionIds>_xldudf_ALPHAVANTAGE_EXCHANGERATESERIES</we:customFunctionIds>
        <we:customFunctionIds>_xldudf_ALPHAVANTAGE_EXCHANGERATESERIESUPDATING</we:customFunctionIds>
        <we:customFunctionIds>_xldudf_ALPHAVANTAGE_TECHNICALINDICATOR</we:customFunctionIds>
        <we:customFunctionIds>_xldudf_ALPHAVANTAGE_SYMBOLSEARCH</we:customFunctionIds>
        <we:customFunctionIds>_xldudf_ALPHAVANTAGE_COMMODITYTIMESERIES</we:customFunctionIds>
        <we:customFunctionIds>_xldudf_ALPHAVANTAGE_AVAILABLECRYPTOCURRENCIES</we:customFunctionIds>
        <we:customFunctionIds>_xldudf_ALPHAVANTAGE_AVAILABLEPHYSICALCURRENCIES</we:customFunctionIds>
        <we:customFunctionIds>_xldudf_ALPHAVANTAGE_COMPANYOVERVIEW</we:customFunctionIds>
        <we:customFunctionIds>_xldudf_ALPHAVANTAGE_COMPANYEARNINGS</we:customFunctionIds>
        <we:customFunctionIds>_xldudf_ALPHAVANTAGE_COMPANYFILINGS</we:customFunctionIds>
        <we:customFunctionIds>_xldudf_ALPHAVANTAGE_LISTINGSTATUS</we:customFunctionIds>
        <we:customFunctionIds>_xldudf_ALPHAVANTAGE_EARNINGSCALENDAR</we:customFunctionIds>
        <we:customFunctionIds>_xldudf_ALPHAVANTAGE_ECONOMICINDICATOR</we:customFunctionIds>
        <we:customFunctionIds>_xldudf_ALPHAVANTAGE_TREASURYYIELD</we:customFunctionIds>
      </we:customFunctionIdList>
    </a:ext>
  </we:extLst>
</we:webextension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3" Type="http://schemas.openxmlformats.org/officeDocument/2006/relationships/hyperlink" Target="https://www.uniformmarket.com/statistics/global-apparel-industry-statistics" TargetMode="Externa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hyperlink" Target="https://www.uniformmarket.com/statistics/global-apparel-industry-statistics" TargetMode="External"/><Relationship Id="rId1" Type="http://schemas.openxmlformats.org/officeDocument/2006/relationships/hyperlink" Target="https://www.uniformmarket.com/statistics/global-apparel-industry-statistics" TargetMode="Externa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drawing" Target="../drawings/drawing6.xml"/><Relationship Id="rId10" Type="http://schemas.openxmlformats.org/officeDocument/2006/relationships/table" Target="../tables/table7.xml"/><Relationship Id="rId4" Type="http://schemas.openxmlformats.org/officeDocument/2006/relationships/hyperlink" Target="https://www.bls.gov/opub/ted/2025/apparel-data-in-fashion.htm" TargetMode="External"/><Relationship Id="rId9" Type="http://schemas.openxmlformats.org/officeDocument/2006/relationships/table" Target="../tables/table6.xml"/><Relationship Id="rId14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7541F-F30A-1D49-A92F-E3C9B43B57C3}">
  <sheetPr codeName="Sheet6"/>
  <dimension ref="B1:AP116"/>
  <sheetViews>
    <sheetView showGridLines="0" topLeftCell="H1" zoomScale="63" zoomScaleNormal="63" workbookViewId="0">
      <selection activeCell="P22" sqref="P22"/>
    </sheetView>
  </sheetViews>
  <sheetFormatPr baseColWidth="10" defaultRowHeight="16"/>
  <cols>
    <col min="1" max="1" width="1.1640625" style="19" customWidth="1"/>
    <col min="2" max="2" width="20.6640625" style="19" customWidth="1"/>
    <col min="3" max="3" width="16.6640625" style="19" bestFit="1" customWidth="1"/>
    <col min="4" max="4" width="18.1640625" style="19" bestFit="1" customWidth="1"/>
    <col min="5" max="5" width="16.83203125" style="19" bestFit="1" customWidth="1"/>
    <col min="6" max="6" width="19.1640625" style="19" bestFit="1" customWidth="1"/>
    <col min="7" max="7" width="15" style="19" bestFit="1" customWidth="1"/>
    <col min="8" max="8" width="44.5" style="19" customWidth="1"/>
    <col min="9" max="9" width="1.1640625" style="19" customWidth="1"/>
    <col min="10" max="10" width="13.1640625" style="19" bestFit="1" customWidth="1"/>
    <col min="11" max="11" width="11.83203125" style="19" customWidth="1"/>
    <col min="12" max="14" width="13.83203125" style="19" bestFit="1" customWidth="1"/>
    <col min="15" max="15" width="13.1640625" style="19" bestFit="1" customWidth="1"/>
    <col min="16" max="16" width="14.5" style="19" bestFit="1" customWidth="1"/>
    <col min="17" max="17" width="13.1640625" style="19" bestFit="1" customWidth="1"/>
    <col min="18" max="18" width="11.33203125" style="19" bestFit="1" customWidth="1"/>
    <col min="19" max="19" width="1.1640625" style="19" customWidth="1"/>
    <col min="20" max="24" width="12.33203125" style="19" customWidth="1"/>
    <col min="25" max="25" width="11.1640625" style="19" bestFit="1" customWidth="1"/>
    <col min="26" max="26" width="3" style="19" customWidth="1"/>
    <col min="27" max="27" width="15.33203125" style="19" bestFit="1" customWidth="1"/>
    <col min="28" max="28" width="14.83203125" style="19" customWidth="1"/>
    <col min="29" max="29" width="13.6640625" style="19" customWidth="1"/>
    <col min="30" max="30" width="11.5" style="19" bestFit="1" customWidth="1"/>
    <col min="31" max="31" width="14.33203125" style="19" customWidth="1"/>
    <col min="32" max="32" width="16" style="19" customWidth="1"/>
    <col min="33" max="33" width="17.5" style="19" bestFit="1" customWidth="1"/>
    <col min="34" max="16384" width="10.83203125" style="19"/>
  </cols>
  <sheetData>
    <row r="1" spans="2:38" ht="29">
      <c r="B1" s="154" t="str">
        <f>_xlfn.CONCAT(F8," (",F10,": ",F9,")")</f>
        <v>Urban Outfitters Inc. (Nasdaq: URBN)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38" ht="24">
      <c r="B2" s="199" t="s">
        <v>395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</row>
    <row r="3" spans="2:38">
      <c r="B3" s="657" t="s">
        <v>3636</v>
      </c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</row>
    <row r="4" spans="2:38">
      <c r="B4" s="19" t="s">
        <v>396</v>
      </c>
      <c r="C4" s="260">
        <v>1</v>
      </c>
      <c r="D4" s="40" t="str">
        <f>CHOOSE($C$4,'AS1'!$B$10,'AS1'!$B$11,'AS1'!$B$12,'AS1'!$B$13,'AS1'!$B$14)</f>
        <v xml:space="preserve">   Base</v>
      </c>
    </row>
    <row r="5" spans="2:38">
      <c r="B5" s="19" t="s">
        <v>456</v>
      </c>
      <c r="C5" s="261" t="s">
        <v>522</v>
      </c>
    </row>
    <row r="7" spans="2:38">
      <c r="B7" s="321" t="s">
        <v>293</v>
      </c>
      <c r="C7" s="321"/>
      <c r="D7" s="321"/>
      <c r="E7" s="321"/>
      <c r="F7" s="321"/>
      <c r="H7" s="84" t="s">
        <v>67</v>
      </c>
      <c r="J7" s="852" t="s">
        <v>259</v>
      </c>
      <c r="K7" s="852"/>
      <c r="L7" s="852"/>
      <c r="M7" s="852"/>
      <c r="N7" s="852"/>
      <c r="O7" s="83" t="s">
        <v>260</v>
      </c>
      <c r="P7" s="80" t="s">
        <v>261</v>
      </c>
      <c r="Q7" s="80" t="s">
        <v>262</v>
      </c>
      <c r="R7" s="80" t="s">
        <v>274</v>
      </c>
      <c r="S7" s="262"/>
      <c r="T7" s="852" t="s">
        <v>245</v>
      </c>
      <c r="U7" s="852"/>
      <c r="V7" s="852"/>
      <c r="W7" s="852"/>
      <c r="X7" s="852"/>
      <c r="Y7" s="42" t="s">
        <v>260</v>
      </c>
      <c r="AC7" s="853" t="s">
        <v>159</v>
      </c>
      <c r="AD7" s="853"/>
      <c r="AE7" s="853"/>
      <c r="AF7" s="853"/>
      <c r="AG7" s="248"/>
      <c r="AL7" s="248"/>
    </row>
    <row r="8" spans="2:38">
      <c r="B8" s="323" t="s">
        <v>294</v>
      </c>
      <c r="C8" s="323"/>
      <c r="D8" s="323"/>
      <c r="E8" s="324"/>
      <c r="F8" s="325" t="s">
        <v>341</v>
      </c>
      <c r="H8" s="263" t="s">
        <v>81</v>
      </c>
      <c r="J8" s="133" t="s">
        <v>10</v>
      </c>
      <c r="K8" s="133" t="s">
        <v>11</v>
      </c>
      <c r="L8" s="133" t="s">
        <v>13</v>
      </c>
      <c r="M8" s="133" t="s">
        <v>14</v>
      </c>
      <c r="N8" s="152" t="s">
        <v>3615</v>
      </c>
      <c r="O8" s="227" t="s">
        <v>3625</v>
      </c>
      <c r="P8" s="133" t="s">
        <v>3617</v>
      </c>
      <c r="Q8" s="133" t="s">
        <v>3618</v>
      </c>
      <c r="R8" s="133" t="s">
        <v>3618</v>
      </c>
      <c r="S8" s="82"/>
      <c r="T8" s="133" t="s">
        <v>50</v>
      </c>
      <c r="U8" s="133" t="s">
        <v>51</v>
      </c>
      <c r="V8" s="133" t="s">
        <v>52</v>
      </c>
      <c r="W8" s="133" t="s">
        <v>53</v>
      </c>
      <c r="X8" s="133" t="s">
        <v>3616</v>
      </c>
      <c r="Y8" s="230" t="s">
        <v>3625</v>
      </c>
      <c r="AC8" s="422" t="s">
        <v>464</v>
      </c>
      <c r="AD8" s="422"/>
      <c r="AE8" s="422"/>
      <c r="AF8" s="426">
        <f>SUM(T46:X46)</f>
        <v>1349125.1152642292</v>
      </c>
      <c r="AG8" s="248"/>
      <c r="AL8" s="248"/>
    </row>
    <row r="9" spans="2:38">
      <c r="B9" s="323" t="s">
        <v>157</v>
      </c>
      <c r="C9" s="323"/>
      <c r="D9" s="323"/>
      <c r="E9" s="324"/>
      <c r="F9" s="325" t="s">
        <v>521</v>
      </c>
      <c r="H9" s="128"/>
      <c r="I9" s="251"/>
      <c r="J9" s="264"/>
      <c r="K9" s="264"/>
      <c r="L9" s="264"/>
      <c r="M9" s="265"/>
      <c r="N9" s="265"/>
      <c r="O9" s="266"/>
      <c r="P9" s="265"/>
      <c r="Q9" s="265"/>
      <c r="R9" s="265"/>
      <c r="S9" s="267"/>
      <c r="T9" s="128"/>
      <c r="U9" s="128"/>
      <c r="V9" s="128"/>
      <c r="W9" s="128"/>
      <c r="X9" s="128"/>
      <c r="AC9" s="427"/>
      <c r="AD9" s="424"/>
      <c r="AE9" s="424"/>
      <c r="AF9" s="431"/>
      <c r="AG9" s="248"/>
      <c r="AL9" s="248"/>
    </row>
    <row r="10" spans="2:38">
      <c r="B10" s="323" t="s">
        <v>295</v>
      </c>
      <c r="C10" s="323"/>
      <c r="D10" s="323"/>
      <c r="E10" s="324"/>
      <c r="F10" s="325" t="s">
        <v>296</v>
      </c>
      <c r="H10" s="128"/>
      <c r="J10" s="128"/>
      <c r="K10" s="128"/>
      <c r="L10" s="128"/>
      <c r="M10" s="128"/>
      <c r="N10" s="128"/>
      <c r="O10" s="268"/>
      <c r="P10" s="128"/>
      <c r="Q10" s="128"/>
      <c r="R10" s="128"/>
      <c r="S10" s="262"/>
      <c r="T10" s="128"/>
      <c r="U10" s="128"/>
      <c r="V10" s="128"/>
      <c r="W10" s="128"/>
      <c r="X10" s="128"/>
      <c r="AC10" s="432" t="s">
        <v>467</v>
      </c>
      <c r="AD10" s="432"/>
      <c r="AE10" s="432"/>
      <c r="AF10" s="432"/>
      <c r="AG10" s="248"/>
      <c r="AL10" s="248"/>
    </row>
    <row r="11" spans="2:38">
      <c r="B11" s="323" t="s">
        <v>297</v>
      </c>
      <c r="C11" s="323"/>
      <c r="D11" s="323"/>
      <c r="E11" s="336"/>
      <c r="F11" s="337">
        <v>45322</v>
      </c>
      <c r="H11" s="127" t="s">
        <v>70</v>
      </c>
      <c r="J11" s="89">
        <v>3983789</v>
      </c>
      <c r="K11" s="89">
        <v>3449749</v>
      </c>
      <c r="L11" s="89">
        <v>4548763</v>
      </c>
      <c r="M11" s="89">
        <v>4795244</v>
      </c>
      <c r="N11" s="89">
        <v>5153237</v>
      </c>
      <c r="O11" s="229">
        <f>IFERROR((N11/J11)^(1/(MID($N$8,3,4)-MID($J$8,3,4)))-1,0)</f>
        <v>6.6463379344938733E-2</v>
      </c>
      <c r="P11" s="89">
        <v>1281174</v>
      </c>
      <c r="Q11" s="89">
        <v>1361855</v>
      </c>
      <c r="R11" s="628">
        <f>N11+Q11-P11</f>
        <v>5233918</v>
      </c>
      <c r="S11" s="262"/>
      <c r="T11" s="131">
        <f>R11*(1+T75)</f>
        <v>5589824.4240000006</v>
      </c>
      <c r="U11" s="131">
        <f>T11*(1+U75)</f>
        <v>5947573.187136001</v>
      </c>
      <c r="V11" s="131">
        <f>U11*(1+V75)</f>
        <v>6304427.5783641618</v>
      </c>
      <c r="W11" s="131">
        <f>V11*(1+W75)</f>
        <v>6670084.3779092832</v>
      </c>
      <c r="X11" s="131">
        <f>W11*(1+X75)</f>
        <v>7030268.9343163846</v>
      </c>
      <c r="Y11" s="441">
        <f>IFERROR((X11/T11)^(1/(MID($X$8,3,4)-MID($T$8,3,4)))-1,0)</f>
        <v>5.8993862085988891E-2</v>
      </c>
      <c r="AC11" s="652" t="str">
        <f>_xlfn.CONCAT("Terminal Year EBITDA (",MID(X8,3,4),"E)")</f>
        <v>Terminal Year EBITDA (2030E)</v>
      </c>
      <c r="AD11" s="424"/>
      <c r="AE11" s="424"/>
      <c r="AF11" s="433">
        <f>X20</f>
        <v>878783.61678954819</v>
      </c>
      <c r="AG11" s="248"/>
      <c r="AL11" s="248"/>
    </row>
    <row r="12" spans="2:38">
      <c r="B12" s="323" t="s">
        <v>298</v>
      </c>
      <c r="C12" s="323"/>
      <c r="D12" s="323"/>
      <c r="E12" s="324"/>
      <c r="F12" s="325" t="s">
        <v>24</v>
      </c>
      <c r="H12" s="270" t="s">
        <v>258</v>
      </c>
      <c r="J12" s="271" t="s">
        <v>23</v>
      </c>
      <c r="K12" s="622">
        <f>IFERROR((K11-J11)/J11,0)</f>
        <v>-0.13405328444854886</v>
      </c>
      <c r="L12" s="272">
        <f>IFERROR((L11-K11)/K11,0)</f>
        <v>0.31857796030957614</v>
      </c>
      <c r="M12" s="272">
        <f>IFERROR((M11-L11)/L11,0)</f>
        <v>5.4186379901524875E-2</v>
      </c>
      <c r="N12" s="272">
        <f>IFERROR((N11-M11)/M11,0)</f>
        <v>7.4655846501241643E-2</v>
      </c>
      <c r="O12" s="273"/>
      <c r="P12" s="274" t="s">
        <v>23</v>
      </c>
      <c r="Q12" s="272">
        <f>IFERROR((Q11-P11)/P11,0)</f>
        <v>6.2974272034868023E-2</v>
      </c>
      <c r="R12" s="275" t="s">
        <v>23</v>
      </c>
      <c r="S12" s="262"/>
      <c r="T12" s="276">
        <f>T75</f>
        <v>6.8000000000000005E-2</v>
      </c>
      <c r="U12" s="276">
        <f t="shared" ref="U12:X12" si="0">U75</f>
        <v>6.4000000000000001E-2</v>
      </c>
      <c r="V12" s="276">
        <f t="shared" si="0"/>
        <v>0.06</v>
      </c>
      <c r="W12" s="276">
        <f t="shared" si="0"/>
        <v>5.8000000000000003E-2</v>
      </c>
      <c r="X12" s="276">
        <f t="shared" si="0"/>
        <v>5.3999999999999999E-2</v>
      </c>
      <c r="Y12" s="441"/>
      <c r="AC12" s="652" t="s">
        <v>471</v>
      </c>
      <c r="AD12" s="424"/>
      <c r="AE12" s="424"/>
      <c r="AF12" s="249">
        <v>7.5</v>
      </c>
      <c r="AG12" s="248"/>
      <c r="AL12" s="248"/>
    </row>
    <row r="13" spans="2:38" ht="16" hidden="1" customHeight="1">
      <c r="B13" s="128"/>
      <c r="C13" s="128"/>
      <c r="D13" s="128"/>
      <c r="E13" s="128"/>
      <c r="H13" s="269" t="s">
        <v>71</v>
      </c>
      <c r="J13" s="277">
        <v>-2729352</v>
      </c>
      <c r="K13" s="277">
        <v>-2572347</v>
      </c>
      <c r="L13" s="277">
        <v>-3054813</v>
      </c>
      <c r="M13" s="277">
        <v>-3361611</v>
      </c>
      <c r="N13" s="277">
        <v>-3425958</v>
      </c>
      <c r="O13" s="273"/>
      <c r="P13" s="277">
        <v>-825375</v>
      </c>
      <c r="Q13" s="277">
        <v>-864536</v>
      </c>
      <c r="R13" s="128"/>
      <c r="S13" s="85"/>
      <c r="T13" s="128"/>
      <c r="U13" s="128"/>
      <c r="V13" s="128"/>
      <c r="W13" s="128"/>
      <c r="X13" s="128"/>
      <c r="Y13" s="441"/>
      <c r="AC13" s="128"/>
      <c r="AD13" s="128"/>
      <c r="AE13" s="128"/>
      <c r="AF13" s="128"/>
      <c r="AG13" s="248"/>
      <c r="AL13" s="248"/>
    </row>
    <row r="14" spans="2:38" ht="16" hidden="1" customHeight="1">
      <c r="B14" s="128"/>
      <c r="C14" s="128"/>
      <c r="D14" s="128"/>
      <c r="E14" s="128"/>
      <c r="H14" s="269" t="s">
        <v>72</v>
      </c>
      <c r="J14" s="277">
        <v>-14611</v>
      </c>
      <c r="K14" s="277">
        <v>-15496</v>
      </c>
      <c r="L14" s="277">
        <v>0</v>
      </c>
      <c r="M14" s="277">
        <v>-6417</v>
      </c>
      <c r="N14" s="277">
        <v>-11875</v>
      </c>
      <c r="O14" s="273"/>
      <c r="P14" s="277">
        <v>-1392</v>
      </c>
      <c r="Q14" s="277">
        <v>0</v>
      </c>
      <c r="R14" s="128"/>
      <c r="S14" s="85"/>
      <c r="T14" s="128"/>
      <c r="U14" s="128"/>
      <c r="V14" s="128"/>
      <c r="W14" s="128"/>
      <c r="X14" s="128"/>
      <c r="Y14" s="441"/>
      <c r="AC14" s="128"/>
      <c r="AD14" s="128"/>
      <c r="AE14" s="128"/>
      <c r="AF14" s="128"/>
      <c r="AG14" s="248"/>
      <c r="AL14" s="248"/>
    </row>
    <row r="15" spans="2:38">
      <c r="B15" s="323" t="s">
        <v>299</v>
      </c>
      <c r="C15" s="323"/>
      <c r="D15" s="323"/>
      <c r="E15" s="324"/>
      <c r="F15" s="325" t="s">
        <v>24</v>
      </c>
      <c r="H15" s="270" t="s">
        <v>264</v>
      </c>
      <c r="J15" s="88" cm="1">
        <f t="array" ref="J15">SUM(ABS(J13:J14))</f>
        <v>2743963</v>
      </c>
      <c r="K15" s="88" cm="1">
        <f t="array" ref="K15">SUM(ABS(K13:K14))</f>
        <v>2587843</v>
      </c>
      <c r="L15" s="88" cm="1">
        <f t="array" ref="L15">SUM(ABS(L13:L14))</f>
        <v>3054813</v>
      </c>
      <c r="M15" s="88" cm="1">
        <f t="array" ref="M15">SUM(ABS(M13:M14))</f>
        <v>3368028</v>
      </c>
      <c r="N15" s="88" cm="1">
        <f t="array" ref="N15">SUM(ABS(N13:N14))</f>
        <v>3437833</v>
      </c>
      <c r="O15" s="273"/>
      <c r="P15" s="90">
        <v>826767</v>
      </c>
      <c r="Q15" s="90">
        <v>864536</v>
      </c>
      <c r="R15" s="629">
        <f>N15+Q15-P15</f>
        <v>3475602</v>
      </c>
      <c r="S15" s="85"/>
      <c r="T15" s="278">
        <f>T11*T76</f>
        <v>3745182.3640800007</v>
      </c>
      <c r="U15" s="278">
        <f>U11*U76</f>
        <v>3955136.1694454406</v>
      </c>
      <c r="V15" s="278">
        <f>V11*V76</f>
        <v>4160922.2017203472</v>
      </c>
      <c r="W15" s="278">
        <f>W11*W76</f>
        <v>4368905.267530581</v>
      </c>
      <c r="X15" s="278">
        <f>X11*X76</f>
        <v>4569674.8073056499</v>
      </c>
      <c r="Y15" s="441"/>
      <c r="AC15" s="436" t="s">
        <v>467</v>
      </c>
      <c r="AD15" s="422"/>
      <c r="AE15" s="422"/>
      <c r="AF15" s="423">
        <f>AF11*AF12</f>
        <v>6590877.1259216117</v>
      </c>
      <c r="AG15" s="248"/>
      <c r="AL15" s="248"/>
    </row>
    <row r="16" spans="2:38">
      <c r="B16" s="323" t="s">
        <v>173</v>
      </c>
      <c r="C16" s="323"/>
      <c r="D16" s="323"/>
      <c r="E16" s="343"/>
      <c r="F16" s="344">
        <v>1.48</v>
      </c>
      <c r="H16" s="126" t="s">
        <v>73</v>
      </c>
      <c r="I16" s="38"/>
      <c r="J16" s="131">
        <f>J11-J15</f>
        <v>1239826</v>
      </c>
      <c r="K16" s="131">
        <f>K11-K15</f>
        <v>861906</v>
      </c>
      <c r="L16" s="131">
        <f>L11-L15</f>
        <v>1493950</v>
      </c>
      <c r="M16" s="131">
        <f>M11-M15</f>
        <v>1427216</v>
      </c>
      <c r="N16" s="131">
        <f>N11-N15</f>
        <v>1715404</v>
      </c>
      <c r="O16" s="229">
        <f>IFERROR((N16/J16)^(1/(MID($N$8,3,4)-MID($J$8,3,4)))-1,0)</f>
        <v>8.4554597560604572E-2</v>
      </c>
      <c r="P16" s="131">
        <f>P11-P15</f>
        <v>454407</v>
      </c>
      <c r="Q16" s="131">
        <f>Q11-Q15</f>
        <v>497319</v>
      </c>
      <c r="R16" s="131">
        <f>R11-R15</f>
        <v>1758316</v>
      </c>
      <c r="S16" s="81"/>
      <c r="T16" s="131">
        <f>T11-T15</f>
        <v>1844642.0599199999</v>
      </c>
      <c r="U16" s="131">
        <f t="shared" ref="U16:X16" si="1">U11-U15</f>
        <v>1992437.0176905603</v>
      </c>
      <c r="V16" s="131">
        <f t="shared" si="1"/>
        <v>2143505.3766438146</v>
      </c>
      <c r="W16" s="131">
        <f t="shared" si="1"/>
        <v>2301179.1103787022</v>
      </c>
      <c r="X16" s="131">
        <f t="shared" si="1"/>
        <v>2460594.1270107348</v>
      </c>
      <c r="Y16" s="441">
        <f>IFERROR((X16/T16)^(1/(MID($X$8,3,4)-MID($T$8,3,4)))-1,0)</f>
        <v>7.4686934726304166E-2</v>
      </c>
      <c r="AC16" s="652" t="s">
        <v>454</v>
      </c>
      <c r="AD16" s="424"/>
      <c r="AE16" s="424"/>
      <c r="AF16" s="425">
        <f>1/(1+$J$43)^(MID($X$8,3,4)-MID($N$8,3,4))</f>
        <v>0.70537507469188054</v>
      </c>
      <c r="AG16" s="248"/>
      <c r="AL16" s="248"/>
    </row>
    <row r="17" spans="2:42">
      <c r="B17" s="323" t="s">
        <v>300</v>
      </c>
      <c r="C17" s="323"/>
      <c r="D17" s="323"/>
      <c r="E17" s="323"/>
      <c r="F17" s="345">
        <v>0.23</v>
      </c>
      <c r="H17" s="270" t="s">
        <v>265</v>
      </c>
      <c r="J17" s="279">
        <f>IFERROR(J16/J11,0)</f>
        <v>0.3112177878898707</v>
      </c>
      <c r="K17" s="279">
        <f>IFERROR(K16/K11,0)</f>
        <v>0.24984600328893494</v>
      </c>
      <c r="L17" s="279">
        <f>IFERROR(L16/L11,0)</f>
        <v>0.32842994897733735</v>
      </c>
      <c r="M17" s="279">
        <f>IFERROR(M16/M11,0)</f>
        <v>0.29763156994722273</v>
      </c>
      <c r="N17" s="279">
        <f>IFERROR(N16/N11,0)</f>
        <v>0.33287892639131483</v>
      </c>
      <c r="O17" s="273"/>
      <c r="P17" s="279">
        <f>IFERROR(P16/P11,0)</f>
        <v>0.35468016054025447</v>
      </c>
      <c r="Q17" s="279">
        <f>IFERROR(Q16/Q11,0)</f>
        <v>0.3651776437285908</v>
      </c>
      <c r="R17" s="279">
        <f>IFERROR(R16/R11,0)</f>
        <v>0.33594641719644824</v>
      </c>
      <c r="S17" s="85"/>
      <c r="T17" s="276">
        <f>T16/T11</f>
        <v>0.32999999999999996</v>
      </c>
      <c r="U17" s="276">
        <f t="shared" ref="U17:X17" si="2">U16/U11</f>
        <v>0.33500000000000002</v>
      </c>
      <c r="V17" s="276">
        <f t="shared" si="2"/>
        <v>0.33999999999999991</v>
      </c>
      <c r="W17" s="276">
        <f t="shared" si="2"/>
        <v>0.34499999999999992</v>
      </c>
      <c r="X17" s="276">
        <f t="shared" si="2"/>
        <v>0.35000000000000003</v>
      </c>
      <c r="Y17" s="441"/>
      <c r="AC17" s="436" t="s">
        <v>3631</v>
      </c>
      <c r="AD17" s="422"/>
      <c r="AE17" s="422"/>
      <c r="AF17" s="426">
        <f>AF15*AF16</f>
        <v>4649040.4449819634</v>
      </c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</row>
    <row r="18" spans="2:42">
      <c r="B18" s="323"/>
      <c r="C18" s="323"/>
      <c r="D18" s="323"/>
      <c r="E18" s="323"/>
      <c r="F18" s="345"/>
      <c r="H18" s="627" t="s">
        <v>74</v>
      </c>
      <c r="J18" s="91">
        <f>993990</f>
        <v>993990</v>
      </c>
      <c r="K18" s="91">
        <v>857934</v>
      </c>
      <c r="L18" s="91">
        <v>1085384</v>
      </c>
      <c r="M18" s="91">
        <v>1200593</v>
      </c>
      <c r="N18" s="91">
        <v>1339205</v>
      </c>
      <c r="O18" s="273"/>
      <c r="P18" s="91">
        <v>345429</v>
      </c>
      <c r="Q18" s="91">
        <v>368628</v>
      </c>
      <c r="R18" s="630">
        <f>N18+Q18-P18</f>
        <v>1362404</v>
      </c>
      <c r="S18" s="85"/>
      <c r="T18" s="276"/>
      <c r="U18" s="276"/>
      <c r="V18" s="276"/>
      <c r="W18" s="276"/>
      <c r="X18" s="276"/>
      <c r="Y18" s="441"/>
      <c r="AC18" s="422"/>
      <c r="AD18" s="422"/>
      <c r="AE18" s="422"/>
      <c r="AF18" s="426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</row>
    <row r="19" spans="2:42">
      <c r="H19" s="637" t="s">
        <v>3621</v>
      </c>
      <c r="I19" s="281"/>
      <c r="J19" s="629">
        <f>J18-J22</f>
        <v>881734</v>
      </c>
      <c r="K19" s="629">
        <f t="shared" ref="K19:Q19" si="3">K18-K22</f>
        <v>754163</v>
      </c>
      <c r="L19" s="629">
        <f t="shared" si="3"/>
        <v>979712</v>
      </c>
      <c r="M19" s="629">
        <f t="shared" si="3"/>
        <v>1098254</v>
      </c>
      <c r="N19" s="629">
        <f t="shared" si="3"/>
        <v>1236718</v>
      </c>
      <c r="O19" s="273"/>
      <c r="P19" s="629">
        <f t="shared" si="3"/>
        <v>317614</v>
      </c>
      <c r="Q19" s="629">
        <f t="shared" si="3"/>
        <v>339149</v>
      </c>
      <c r="R19" s="629">
        <f>N19+Q19-P19</f>
        <v>1258253</v>
      </c>
      <c r="S19" s="85"/>
      <c r="T19" s="278">
        <f>T11*T77</f>
        <v>1257710.4954000001</v>
      </c>
      <c r="U19" s="278">
        <f>U11*U77</f>
        <v>1338203.9671056003</v>
      </c>
      <c r="V19" s="278">
        <f>V11*V77</f>
        <v>1418496.2051319364</v>
      </c>
      <c r="W19" s="278">
        <f>W11*W77</f>
        <v>1500768.9850295887</v>
      </c>
      <c r="X19" s="278">
        <f>X11*X77</f>
        <v>1581810.5102211866</v>
      </c>
      <c r="Y19" s="441"/>
      <c r="AC19" s="269" t="s">
        <v>489</v>
      </c>
      <c r="AD19" s="128"/>
      <c r="AE19" s="128"/>
      <c r="AF19" s="276">
        <f>AF17/AF21</f>
        <v>0.77507704618795903</v>
      </c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</row>
    <row r="20" spans="2:42">
      <c r="B20" s="321" t="s">
        <v>301</v>
      </c>
      <c r="C20" s="321"/>
      <c r="D20" s="321"/>
      <c r="E20" s="321"/>
      <c r="F20" s="321"/>
      <c r="H20" s="126" t="s">
        <v>75</v>
      </c>
      <c r="I20" s="38"/>
      <c r="J20" s="134">
        <f>J16-J19</f>
        <v>358092</v>
      </c>
      <c r="K20" s="134">
        <f>K16-K19</f>
        <v>107743</v>
      </c>
      <c r="L20" s="134">
        <f>L16-L19</f>
        <v>514238</v>
      </c>
      <c r="M20" s="134">
        <f>M16-M19</f>
        <v>328962</v>
      </c>
      <c r="N20" s="134">
        <f>N16-N19</f>
        <v>478686</v>
      </c>
      <c r="O20" s="229">
        <f>IFERROR((N20/J20)^(1/(MID($N$8,3,4)-MID($J$8,3,4)))-1,0)</f>
        <v>7.5261328555868312E-2</v>
      </c>
      <c r="P20" s="134">
        <f>P16-P19</f>
        <v>136793</v>
      </c>
      <c r="Q20" s="134">
        <f>Q16-Q19</f>
        <v>158170</v>
      </c>
      <c r="R20" s="134">
        <f>R16-R19</f>
        <v>500063</v>
      </c>
      <c r="S20" s="94"/>
      <c r="T20" s="131">
        <f>T16-T19</f>
        <v>586931.56451999978</v>
      </c>
      <c r="U20" s="131">
        <f>U16-U19</f>
        <v>654233.05058496003</v>
      </c>
      <c r="V20" s="131">
        <f>V16-V19</f>
        <v>725009.17151187826</v>
      </c>
      <c r="W20" s="131">
        <f>W16-W19</f>
        <v>800410.12534911348</v>
      </c>
      <c r="X20" s="131">
        <f>X16-X19</f>
        <v>878783.61678954819</v>
      </c>
      <c r="Y20" s="441">
        <f>IFERROR((X20/T20)^(1/(MID($X$8,3,4)-MID($T$8,3,4)))-1,0)</f>
        <v>0.10617444581125657</v>
      </c>
      <c r="AC20" s="128"/>
      <c r="AD20" s="128"/>
      <c r="AE20" s="128"/>
      <c r="AF20" s="128"/>
    </row>
    <row r="21" spans="2:42">
      <c r="B21" s="323" t="s">
        <v>302</v>
      </c>
      <c r="C21" s="323"/>
      <c r="D21" s="323"/>
      <c r="E21" s="490">
        <f ca="1">TODAY()</f>
        <v>45770</v>
      </c>
      <c r="F21" s="386">
        <f>STATS!C5</f>
        <v>49.28</v>
      </c>
      <c r="H21" s="270" t="s">
        <v>265</v>
      </c>
      <c r="J21" s="279">
        <f>IFERROR(J20/J11,0)</f>
        <v>8.9887290717455173E-2</v>
      </c>
      <c r="K21" s="279">
        <f>IFERROR(K20/K11,0)</f>
        <v>3.123212732288639E-2</v>
      </c>
      <c r="L21" s="279">
        <f>IFERROR(L20/L11,0)</f>
        <v>0.11305007537213964</v>
      </c>
      <c r="M21" s="279">
        <f>IFERROR(M20/M11,0)</f>
        <v>6.8601722873747412E-2</v>
      </c>
      <c r="N21" s="279">
        <f>IFERROR(N20/N11,0)</f>
        <v>9.2890352219391417E-2</v>
      </c>
      <c r="O21" s="273"/>
      <c r="P21" s="279">
        <f>IFERROR(P20/P11,0)</f>
        <v>0.10677160167159183</v>
      </c>
      <c r="Q21" s="279">
        <f>IFERROR(Q20/Q11,0)</f>
        <v>0.11614305487735478</v>
      </c>
      <c r="R21" s="279">
        <f>IFERROR(R20/R11,0)</f>
        <v>9.5542765477028876E-2</v>
      </c>
      <c r="S21" s="85"/>
      <c r="T21" s="276">
        <f>T20/T11</f>
        <v>0.10499999999999995</v>
      </c>
      <c r="U21" s="276">
        <f>U20/U11</f>
        <v>0.10999999999999999</v>
      </c>
      <c r="V21" s="276">
        <f>V20/V11</f>
        <v>0.11499999999999995</v>
      </c>
      <c r="W21" s="276">
        <f>W20/W11</f>
        <v>0.11999999999999993</v>
      </c>
      <c r="X21" s="276">
        <f>X20/X11</f>
        <v>0.12500000000000003</v>
      </c>
      <c r="Y21" s="441"/>
      <c r="AC21" s="436" t="s">
        <v>159</v>
      </c>
      <c r="AD21" s="422"/>
      <c r="AE21" s="422"/>
      <c r="AF21" s="255">
        <f>AF17+AF8</f>
        <v>5998165.5602461929</v>
      </c>
    </row>
    <row r="22" spans="2:42">
      <c r="B22" s="351" t="s">
        <v>303</v>
      </c>
      <c r="C22" s="351"/>
      <c r="D22" s="351"/>
      <c r="E22" s="352"/>
      <c r="F22" s="353">
        <f>+IF(ISERROR(F21/F23),"NA",F21/F23)</f>
        <v>0.80575539568345333</v>
      </c>
      <c r="H22" s="270" t="s">
        <v>272</v>
      </c>
      <c r="J22" s="629">
        <f>CF!D9</f>
        <v>112256</v>
      </c>
      <c r="K22" s="629">
        <f>CF!E9</f>
        <v>103771</v>
      </c>
      <c r="L22" s="629">
        <f>CF!F9</f>
        <v>105672</v>
      </c>
      <c r="M22" s="629">
        <f>CF!G9</f>
        <v>102339</v>
      </c>
      <c r="N22" s="629">
        <f>CF!H9</f>
        <v>102487</v>
      </c>
      <c r="O22" s="273"/>
      <c r="P22" s="629">
        <f>CF!I9</f>
        <v>27815</v>
      </c>
      <c r="Q22" s="629">
        <f>CF!J9</f>
        <v>29479</v>
      </c>
      <c r="R22" s="629">
        <f>N22+Q22-P22</f>
        <v>104151</v>
      </c>
      <c r="S22" s="85"/>
      <c r="T22" s="278">
        <f>T11*T78</f>
        <v>122976.13732800001</v>
      </c>
      <c r="U22" s="278">
        <f>U11*U78</f>
        <v>130846.61011699201</v>
      </c>
      <c r="V22" s="278">
        <f>V11*V78</f>
        <v>138697.40672401155</v>
      </c>
      <c r="W22" s="278">
        <f>W11*W78</f>
        <v>146741.85631400422</v>
      </c>
      <c r="X22" s="278">
        <f>X11*X78</f>
        <v>154665.91655496045</v>
      </c>
      <c r="Y22" s="441"/>
      <c r="AC22" s="248"/>
      <c r="AD22" s="248"/>
      <c r="AE22" s="248"/>
      <c r="AF22" s="248"/>
    </row>
    <row r="23" spans="2:42">
      <c r="B23" s="354" t="s">
        <v>304</v>
      </c>
      <c r="C23" s="323"/>
      <c r="D23" s="323"/>
      <c r="E23" s="349">
        <v>45484</v>
      </c>
      <c r="F23" s="491">
        <f>STATS!C6</f>
        <v>61.16</v>
      </c>
      <c r="H23" s="127" t="s">
        <v>160</v>
      </c>
      <c r="J23" s="131">
        <f>J20-J22</f>
        <v>245836</v>
      </c>
      <c r="K23" s="131">
        <f t="shared" ref="K23:N23" si="4">K20-K22</f>
        <v>3972</v>
      </c>
      <c r="L23" s="131">
        <f t="shared" si="4"/>
        <v>408566</v>
      </c>
      <c r="M23" s="131">
        <f t="shared" si="4"/>
        <v>226623</v>
      </c>
      <c r="N23" s="131">
        <f t="shared" si="4"/>
        <v>376199</v>
      </c>
      <c r="O23" s="229">
        <f>IFERROR((N23/J23)^(1/(MID($N$8,3,4)-MID($J$8,3,4)))-1,0)</f>
        <v>0.11222598926814054</v>
      </c>
      <c r="P23" s="131">
        <f t="shared" ref="P23" si="5">P20-P22</f>
        <v>108978</v>
      </c>
      <c r="Q23" s="131">
        <f t="shared" ref="Q23:R23" si="6">Q20-Q22</f>
        <v>128691</v>
      </c>
      <c r="R23" s="131">
        <f t="shared" si="6"/>
        <v>395912</v>
      </c>
      <c r="S23" s="85"/>
      <c r="T23" s="131">
        <f>T20-T22</f>
        <v>463955.42719199974</v>
      </c>
      <c r="U23" s="131">
        <f t="shared" ref="U23:X23" si="7">U20-U22</f>
        <v>523386.440467968</v>
      </c>
      <c r="V23" s="131">
        <f t="shared" si="7"/>
        <v>586311.76478786673</v>
      </c>
      <c r="W23" s="131">
        <f t="shared" si="7"/>
        <v>653668.26903510932</v>
      </c>
      <c r="X23" s="131">
        <f t="shared" si="7"/>
        <v>724117.70023458777</v>
      </c>
      <c r="Y23" s="441">
        <f>IFERROR((X23/T23)^(1/(MID($X$8,3,4)-MID($T$8,3,4)))-1,0)</f>
        <v>0.11772052490307927</v>
      </c>
      <c r="AC23" s="248"/>
      <c r="AD23" s="248"/>
      <c r="AE23" s="248"/>
      <c r="AF23" s="248"/>
    </row>
    <row r="24" spans="2:42">
      <c r="B24" s="354" t="s">
        <v>305</v>
      </c>
      <c r="C24" s="323"/>
      <c r="D24" s="323"/>
      <c r="E24" s="349">
        <v>45574</v>
      </c>
      <c r="F24" s="491">
        <f>STATS!C7</f>
        <v>33.86</v>
      </c>
      <c r="H24" s="270" t="s">
        <v>265</v>
      </c>
      <c r="J24" s="279">
        <f>IFERROR(J23/J11,0)</f>
        <v>6.1709091520660356E-2</v>
      </c>
      <c r="K24" s="622">
        <f>IFERROR(K23/K11,0)</f>
        <v>1.1513881154831844E-3</v>
      </c>
      <c r="L24" s="279">
        <f>IFERROR(L23/L11,0)</f>
        <v>8.9819144237675161E-2</v>
      </c>
      <c r="M24" s="279">
        <f>IFERROR(M23/M11,0)</f>
        <v>4.7259951735511271E-2</v>
      </c>
      <c r="N24" s="279">
        <f>IFERROR(N23/N11,0)</f>
        <v>7.3002464276337373E-2</v>
      </c>
      <c r="O24" s="273"/>
      <c r="P24" s="279">
        <f>IFERROR(P23/P11,0)</f>
        <v>8.5061045572264182E-2</v>
      </c>
      <c r="Q24" s="279">
        <f>IFERROR(Q23/Q11,0)</f>
        <v>9.4496844377705405E-2</v>
      </c>
      <c r="R24" s="279">
        <f>IFERROR(R23/R11,0)</f>
        <v>7.5643523647103375E-2</v>
      </c>
      <c r="S24" s="85"/>
      <c r="T24" s="276">
        <f>T23/T11</f>
        <v>8.2999999999999949E-2</v>
      </c>
      <c r="U24" s="276">
        <f>U23/U11</f>
        <v>8.7999999999999981E-2</v>
      </c>
      <c r="V24" s="276">
        <f>V23/V11</f>
        <v>9.2999999999999944E-2</v>
      </c>
      <c r="W24" s="276">
        <f>W23/W11</f>
        <v>9.7999999999999934E-2</v>
      </c>
      <c r="X24" s="276">
        <f>X23/X11</f>
        <v>0.10300000000000002</v>
      </c>
      <c r="Y24" s="441"/>
      <c r="AC24" s="853" t="s">
        <v>462</v>
      </c>
      <c r="AD24" s="853"/>
      <c r="AE24" s="853"/>
      <c r="AF24" s="853"/>
    </row>
    <row r="25" spans="2:42">
      <c r="B25" s="648" t="s">
        <v>306</v>
      </c>
      <c r="C25" s="323"/>
      <c r="D25" s="323"/>
      <c r="E25" s="323"/>
      <c r="F25" s="491">
        <v>0</v>
      </c>
      <c r="H25" s="270" t="s">
        <v>76</v>
      </c>
      <c r="J25" s="91">
        <v>10638</v>
      </c>
      <c r="K25" s="623">
        <v>3119</v>
      </c>
      <c r="L25" s="91">
        <v>2343</v>
      </c>
      <c r="M25" s="91">
        <v>2041</v>
      </c>
      <c r="N25" s="91">
        <v>23631</v>
      </c>
      <c r="O25" s="273"/>
      <c r="P25" s="91">
        <v>0</v>
      </c>
      <c r="Q25" s="91">
        <v>0</v>
      </c>
      <c r="R25" s="630">
        <f>N25+Q25-P25</f>
        <v>23631</v>
      </c>
      <c r="S25" s="85"/>
      <c r="T25" s="284"/>
      <c r="U25" s="284"/>
      <c r="V25" s="284"/>
      <c r="W25" s="284"/>
      <c r="X25" s="284"/>
      <c r="Y25" s="441"/>
      <c r="AC25" s="424" t="s">
        <v>159</v>
      </c>
      <c r="AD25" s="424"/>
      <c r="AE25" s="434"/>
      <c r="AF25" s="435">
        <f>AF21</f>
        <v>5998165.5602461929</v>
      </c>
    </row>
    <row r="26" spans="2:42">
      <c r="B26" s="649"/>
      <c r="C26" s="323"/>
      <c r="D26" s="323"/>
      <c r="E26" s="323"/>
      <c r="F26" s="356"/>
      <c r="H26" s="270" t="s">
        <v>77</v>
      </c>
      <c r="J26" s="91">
        <v>0</v>
      </c>
      <c r="K26" s="626">
        <v>-3405</v>
      </c>
      <c r="L26" s="626">
        <v>-1104</v>
      </c>
      <c r="M26" s="626">
        <v>-1315</v>
      </c>
      <c r="N26" s="626">
        <v>-7662</v>
      </c>
      <c r="O26" s="273"/>
      <c r="P26" s="91">
        <v>0</v>
      </c>
      <c r="Q26" s="91">
        <v>0</v>
      </c>
      <c r="R26" s="631">
        <f>N26+Q26-P26</f>
        <v>-7662</v>
      </c>
      <c r="S26" s="85"/>
      <c r="T26" s="285">
        <f>T11*T80</f>
        <v>2794.9122120000002</v>
      </c>
      <c r="U26" s="284">
        <f>U11*U80</f>
        <v>2973.7865935680006</v>
      </c>
      <c r="V26" s="284">
        <f>V11*V80</f>
        <v>3152.2137891820807</v>
      </c>
      <c r="W26" s="284">
        <f>W11*W80</f>
        <v>3335.0421889546415</v>
      </c>
      <c r="X26" s="284">
        <f>X11*X80</f>
        <v>3515.1344671581924</v>
      </c>
      <c r="Y26" s="441"/>
      <c r="AC26" s="424" t="s">
        <v>466</v>
      </c>
      <c r="AD26" s="424"/>
      <c r="AE26" s="424"/>
      <c r="AF26" s="257">
        <f>BS!I39</f>
        <v>1998669</v>
      </c>
    </row>
    <row r="27" spans="2:42">
      <c r="B27" s="646" t="s">
        <v>307</v>
      </c>
      <c r="C27" s="323"/>
      <c r="D27" s="323"/>
      <c r="E27" s="323"/>
      <c r="F27" s="358">
        <f>R36</f>
        <v>93857850</v>
      </c>
      <c r="H27" s="270" t="s">
        <v>3623</v>
      </c>
      <c r="J27" s="626">
        <v>-13911</v>
      </c>
      <c r="K27" s="91">
        <v>0</v>
      </c>
      <c r="L27" s="91">
        <v>0</v>
      </c>
      <c r="M27" s="91">
        <v>0</v>
      </c>
      <c r="N27" s="626">
        <v>-6404</v>
      </c>
      <c r="O27" s="273"/>
      <c r="P27" s="91">
        <v>0</v>
      </c>
      <c r="Q27" s="91">
        <v>0</v>
      </c>
      <c r="R27" s="631">
        <f>N27+Q27-P27</f>
        <v>-6404</v>
      </c>
      <c r="S27" s="85"/>
      <c r="T27" s="284"/>
      <c r="U27" s="284"/>
      <c r="V27" s="284"/>
      <c r="W27" s="284"/>
      <c r="X27" s="284"/>
      <c r="Y27" s="441"/>
      <c r="AC27" s="424" t="s">
        <v>468</v>
      </c>
      <c r="AD27" s="424"/>
      <c r="AE27" s="424"/>
      <c r="AF27" s="250">
        <v>0</v>
      </c>
    </row>
    <row r="28" spans="2:42">
      <c r="B28" s="359" t="s">
        <v>158</v>
      </c>
      <c r="C28" s="323"/>
      <c r="D28" s="323"/>
      <c r="E28" s="323"/>
      <c r="F28" s="360">
        <f>F27*F21/1000</f>
        <v>4625314.8480000002</v>
      </c>
      <c r="H28" s="270" t="s">
        <v>3619</v>
      </c>
      <c r="J28" s="633">
        <v>-2843</v>
      </c>
      <c r="K28" s="633">
        <v>-173</v>
      </c>
      <c r="L28" s="633">
        <v>-5174</v>
      </c>
      <c r="M28" s="633">
        <v>-6070</v>
      </c>
      <c r="N28" s="633">
        <v>-4157</v>
      </c>
      <c r="O28" s="273"/>
      <c r="P28" s="634">
        <v>705</v>
      </c>
      <c r="Q28" s="634">
        <v>7141</v>
      </c>
      <c r="R28" s="635">
        <f>N28+Q28-P28</f>
        <v>2279</v>
      </c>
      <c r="S28" s="85"/>
      <c r="T28" s="293"/>
      <c r="U28" s="293"/>
      <c r="V28" s="293"/>
      <c r="W28" s="293"/>
      <c r="X28" s="293"/>
      <c r="Y28" s="441"/>
      <c r="AC28" s="424" t="s">
        <v>470</v>
      </c>
      <c r="AD28" s="424"/>
      <c r="AE28" s="424"/>
      <c r="AF28" s="250">
        <v>0</v>
      </c>
      <c r="AG28" s="252"/>
      <c r="AH28" s="252"/>
      <c r="AI28" s="252"/>
      <c r="AJ28" s="361"/>
      <c r="AK28" s="248"/>
      <c r="AL28" s="362"/>
      <c r="AM28" s="362"/>
      <c r="AN28" s="362"/>
      <c r="AO28" s="362"/>
      <c r="AP28" s="362"/>
    </row>
    <row r="29" spans="2:42">
      <c r="B29" s="323"/>
      <c r="C29" s="323"/>
      <c r="D29" s="323"/>
      <c r="E29" s="323"/>
      <c r="F29" s="323"/>
      <c r="H29" s="127" t="s">
        <v>3624</v>
      </c>
      <c r="J29" s="131">
        <f>J23+J25+J26+J27+J28</f>
        <v>239720</v>
      </c>
      <c r="K29" s="131">
        <f t="shared" ref="K29:N29" si="8">K23+K25+K26+K27+K28</f>
        <v>3513</v>
      </c>
      <c r="L29" s="131">
        <f t="shared" si="8"/>
        <v>404631</v>
      </c>
      <c r="M29" s="131">
        <f t="shared" si="8"/>
        <v>221279</v>
      </c>
      <c r="N29" s="131">
        <f t="shared" si="8"/>
        <v>381607</v>
      </c>
      <c r="O29" s="229">
        <f>IFERROR((N29/J29)^(1/(MID($N$8,3,4)-MID($J$8,3,4)))-1,0)</f>
        <v>0.123254108788307</v>
      </c>
      <c r="P29" s="131">
        <f t="shared" ref="P29" si="9">P23+P25+P26+P27+P28</f>
        <v>109683</v>
      </c>
      <c r="Q29" s="131">
        <f>Q23+Q25+Q26+Q27+Q28</f>
        <v>135832</v>
      </c>
      <c r="R29" s="131">
        <f t="shared" ref="R29" si="10">R23+R25+R26+R27+R28</f>
        <v>407756</v>
      </c>
      <c r="S29" s="85"/>
      <c r="T29" s="131">
        <f t="shared" ref="T29:X29" si="11">T23+T25+T26+T27+T28</f>
        <v>466750.33940399974</v>
      </c>
      <c r="U29" s="131">
        <f t="shared" si="11"/>
        <v>526360.22706153605</v>
      </c>
      <c r="V29" s="131">
        <f t="shared" si="11"/>
        <v>589463.97857704887</v>
      </c>
      <c r="W29" s="131">
        <f t="shared" si="11"/>
        <v>657003.31122406397</v>
      </c>
      <c r="X29" s="131">
        <f t="shared" si="11"/>
        <v>727632.834701746</v>
      </c>
      <c r="Y29" s="441">
        <f>IFERROR((X29/T29)^(1/(MID($X$8,3,4)-MID($T$8,3,4)))-1,0)</f>
        <v>0.11739548327598892</v>
      </c>
      <c r="AC29" s="424" t="s">
        <v>472</v>
      </c>
      <c r="AD29" s="424"/>
      <c r="AE29" s="424"/>
      <c r="AF29" s="256">
        <f>SUM(BS!I10:I11)</f>
        <v>465065</v>
      </c>
    </row>
    <row r="30" spans="2:42">
      <c r="B30" s="646" t="s">
        <v>309</v>
      </c>
      <c r="C30" s="323"/>
      <c r="D30" s="323"/>
      <c r="E30" s="323"/>
      <c r="F30" s="363">
        <f>BS!I39</f>
        <v>1998669</v>
      </c>
      <c r="H30" s="270" t="s">
        <v>79</v>
      </c>
      <c r="J30" s="626">
        <v>-71624</v>
      </c>
      <c r="K30" s="626">
        <v>-2277</v>
      </c>
      <c r="L30" s="626">
        <v>-94015</v>
      </c>
      <c r="M30" s="626">
        <v>-61580</v>
      </c>
      <c r="N30" s="626">
        <v>-93933</v>
      </c>
      <c r="O30" s="273"/>
      <c r="P30" s="626">
        <v>-26669</v>
      </c>
      <c r="Q30" s="626">
        <v>-32921</v>
      </c>
      <c r="R30" s="624">
        <f t="shared" ref="R30" si="12">R29*R31</f>
        <v>93783.88</v>
      </c>
      <c r="S30" s="85"/>
      <c r="T30" s="624">
        <f t="shared" ref="T30" si="13">T29*T31</f>
        <v>107352.57806291994</v>
      </c>
      <c r="U30" s="624">
        <f t="shared" ref="U30" si="14">U29*U31</f>
        <v>121062.85222415329</v>
      </c>
      <c r="V30" s="624">
        <f t="shared" ref="V30" si="15">V29*V31</f>
        <v>135576.71507272124</v>
      </c>
      <c r="W30" s="624">
        <f t="shared" ref="W30" si="16">W29*W31</f>
        <v>151110.76158153472</v>
      </c>
      <c r="X30" s="624">
        <f t="shared" ref="X30" si="17">X29*X31</f>
        <v>167355.5519814016</v>
      </c>
      <c r="Y30" s="289"/>
      <c r="AC30" s="424"/>
      <c r="AD30" s="424"/>
      <c r="AE30" s="424"/>
      <c r="AF30" s="424" t="s">
        <v>474</v>
      </c>
    </row>
    <row r="31" spans="2:42">
      <c r="B31" s="646" t="s">
        <v>310</v>
      </c>
      <c r="C31" s="323"/>
      <c r="D31" s="323"/>
      <c r="E31" s="323"/>
      <c r="F31" s="364">
        <v>0</v>
      </c>
      <c r="H31" s="270" t="s">
        <v>3620</v>
      </c>
      <c r="J31" s="625">
        <v>0.29899999999999999</v>
      </c>
      <c r="K31" s="625">
        <v>0.64800000000000002</v>
      </c>
      <c r="L31" s="625">
        <v>0.23200000000000001</v>
      </c>
      <c r="M31" s="625">
        <v>0.27800000000000002</v>
      </c>
      <c r="N31" s="625">
        <v>0.246</v>
      </c>
      <c r="O31" s="273"/>
      <c r="P31" s="625">
        <v>0.23</v>
      </c>
      <c r="Q31" s="625">
        <v>0.23</v>
      </c>
      <c r="R31" s="632">
        <f>23%</f>
        <v>0.23</v>
      </c>
      <c r="S31" s="85"/>
      <c r="T31" s="288">
        <f>T81</f>
        <v>0.23</v>
      </c>
      <c r="U31" s="288">
        <f t="shared" ref="U31:X31" si="18">U81</f>
        <v>0.23</v>
      </c>
      <c r="V31" s="288">
        <f t="shared" si="18"/>
        <v>0.23</v>
      </c>
      <c r="W31" s="288">
        <f t="shared" si="18"/>
        <v>0.23</v>
      </c>
      <c r="X31" s="288">
        <f t="shared" si="18"/>
        <v>0.23</v>
      </c>
      <c r="Y31" s="289"/>
      <c r="AC31" s="422" t="s">
        <v>475</v>
      </c>
      <c r="AD31" s="422"/>
      <c r="AE31" s="424"/>
      <c r="AF31" s="255">
        <f>AF25-AF26-AF27-AF28+AF29</f>
        <v>4464561.5602461929</v>
      </c>
    </row>
    <row r="32" spans="2:42">
      <c r="B32" s="646" t="s">
        <v>311</v>
      </c>
      <c r="C32" s="323"/>
      <c r="D32" s="323"/>
      <c r="E32" s="323"/>
      <c r="F32" s="364">
        <v>0</v>
      </c>
      <c r="H32" s="126" t="s">
        <v>80</v>
      </c>
      <c r="I32" s="38"/>
      <c r="J32" s="131">
        <f>J29+J30</f>
        <v>168096</v>
      </c>
      <c r="K32" s="131">
        <f t="shared" ref="K32:N32" si="19">K29+K30</f>
        <v>1236</v>
      </c>
      <c r="L32" s="131">
        <f t="shared" si="19"/>
        <v>310616</v>
      </c>
      <c r="M32" s="131">
        <f t="shared" si="19"/>
        <v>159699</v>
      </c>
      <c r="N32" s="131">
        <f t="shared" si="19"/>
        <v>287674</v>
      </c>
      <c r="O32" s="229">
        <f>IFERROR((N32/J32)^(1/(MID($N$8,3,4)-MID($J$8,3,4)))-1,0)</f>
        <v>0.14376238097678828</v>
      </c>
      <c r="P32" s="131">
        <f>P29+P30</f>
        <v>83014</v>
      </c>
      <c r="Q32" s="131">
        <f>Q29+Q30</f>
        <v>102911</v>
      </c>
      <c r="R32" s="131">
        <f t="shared" ref="R32:X32" si="20">R29-R30</f>
        <v>313972.12</v>
      </c>
      <c r="S32" s="81"/>
      <c r="T32" s="131">
        <f t="shared" si="20"/>
        <v>359397.76134107978</v>
      </c>
      <c r="U32" s="131">
        <f t="shared" si="20"/>
        <v>405297.37483738275</v>
      </c>
      <c r="V32" s="131">
        <f t="shared" si="20"/>
        <v>453887.26350432762</v>
      </c>
      <c r="W32" s="131">
        <f t="shared" si="20"/>
        <v>505892.54964252922</v>
      </c>
      <c r="X32" s="131">
        <f t="shared" si="20"/>
        <v>560277.28272034437</v>
      </c>
      <c r="Y32" s="441">
        <f>IFERROR((X32/T32)^(1/(MID($X$8,3,4)-MID($T$8,3,4)))-1,0)</f>
        <v>0.11739548327598892</v>
      </c>
      <c r="AC32" s="424"/>
      <c r="AD32" s="424"/>
      <c r="AE32" s="424"/>
      <c r="AF32" s="424"/>
    </row>
    <row r="33" spans="2:33">
      <c r="B33" s="646" t="s">
        <v>312</v>
      </c>
      <c r="C33" s="323"/>
      <c r="D33" s="323"/>
      <c r="E33" s="323"/>
      <c r="F33" s="365">
        <f>-SUM(BS!I10:I11)</f>
        <v>-465065</v>
      </c>
      <c r="H33" s="270" t="s">
        <v>265</v>
      </c>
      <c r="J33" s="279">
        <f>IFERROR(J32/J11,0)</f>
        <v>4.2195005809795648E-2</v>
      </c>
      <c r="K33" s="279">
        <f>IFERROR(K32/K11,0)</f>
        <v>3.5828693623796978E-4</v>
      </c>
      <c r="L33" s="279">
        <f>IFERROR(L32/L11,0)</f>
        <v>6.828581748488545E-2</v>
      </c>
      <c r="M33" s="279">
        <f>IFERROR(M32/M11,0)</f>
        <v>3.3303623340126175E-2</v>
      </c>
      <c r="N33" s="279">
        <f>IFERROR(N32/N11,0)</f>
        <v>5.5823941340171233E-2</v>
      </c>
      <c r="O33" s="273"/>
      <c r="P33" s="279">
        <f>IFERROR(P32/P11,0)</f>
        <v>6.4795258099212133E-2</v>
      </c>
      <c r="Q33" s="279">
        <f>IFERROR(Q32/Q11,0)</f>
        <v>7.5566782072981342E-2</v>
      </c>
      <c r="R33" s="279">
        <f>IFERROR(R32/R11,0)</f>
        <v>5.9987970770654028E-2</v>
      </c>
      <c r="S33" s="85"/>
      <c r="T33" s="279">
        <f>IFERROR(T32/T11,0)</f>
        <v>6.4294999999999949E-2</v>
      </c>
      <c r="U33" s="279">
        <f>IFERROR(U32/U11,0)</f>
        <v>6.8144999999999997E-2</v>
      </c>
      <c r="V33" s="279">
        <f>IFERROR(V32/V11,0)</f>
        <v>7.1994999999999962E-2</v>
      </c>
      <c r="W33" s="279">
        <f>IFERROR(W32/W11,0)</f>
        <v>7.584499999999994E-2</v>
      </c>
      <c r="X33" s="279">
        <f>IFERROR(X32/X11,0)</f>
        <v>7.9695000000000016E-2</v>
      </c>
      <c r="AC33" s="424" t="s">
        <v>307</v>
      </c>
      <c r="AD33" s="424"/>
      <c r="AE33" s="424"/>
      <c r="AF33" s="284">
        <f>R36</f>
        <v>93857850</v>
      </c>
    </row>
    <row r="34" spans="2:33">
      <c r="B34" s="359" t="s">
        <v>159</v>
      </c>
      <c r="C34" s="323"/>
      <c r="D34" s="323"/>
      <c r="E34" s="323"/>
      <c r="F34" s="365">
        <f>SUM(F28:F33)</f>
        <v>6158918.8480000002</v>
      </c>
      <c r="H34" s="270"/>
      <c r="J34" s="128"/>
      <c r="K34" s="128"/>
      <c r="L34" s="128"/>
      <c r="M34" s="128"/>
      <c r="N34" s="128"/>
      <c r="O34" s="273"/>
      <c r="P34" s="128"/>
      <c r="Q34" s="128"/>
      <c r="R34" s="128"/>
      <c r="S34" s="85"/>
      <c r="T34" s="128"/>
      <c r="U34" s="128"/>
      <c r="V34" s="128"/>
      <c r="W34" s="128"/>
      <c r="X34" s="128"/>
      <c r="AC34" s="424"/>
      <c r="AD34" s="424"/>
      <c r="AE34" s="424"/>
      <c r="AF34" s="284"/>
    </row>
    <row r="35" spans="2:33">
      <c r="B35" s="346"/>
      <c r="C35" s="346"/>
      <c r="D35" s="346"/>
      <c r="E35" s="346"/>
      <c r="F35" s="346"/>
      <c r="H35" s="270" t="s">
        <v>291</v>
      </c>
      <c r="J35" s="290">
        <f>J$32*1000/J36</f>
        <v>1.6711224862814331</v>
      </c>
      <c r="K35" s="290">
        <f>K$32*1000/K36</f>
        <v>1.2545322515070017E-2</v>
      </c>
      <c r="L35" s="290">
        <f>L$32*1000/L36</f>
        <v>3.1290425315813275</v>
      </c>
      <c r="M35" s="290">
        <f>M$32*1000/M36</f>
        <v>1.6963257863252172</v>
      </c>
      <c r="N35" s="290">
        <f>N$32*1000/N36</f>
        <v>3.0497270767038578</v>
      </c>
      <c r="O35" s="229">
        <f>IFERROR((N35/J35)^(1/(MID($N$8,3,4)-MID($J$8,3,4)))-1,0)</f>
        <v>0.16228644556448502</v>
      </c>
      <c r="P35" s="290">
        <f>P32*1000/P36</f>
        <v>0.87893517618555983</v>
      </c>
      <c r="Q35" s="290">
        <f>Q32*1000/Q36</f>
        <v>1.0964559703850025</v>
      </c>
      <c r="R35" s="290">
        <f>N35+Q35-P35</f>
        <v>3.2672478709033008</v>
      </c>
      <c r="S35" s="85"/>
      <c r="T35" s="290">
        <f>T32*1000/T36</f>
        <v>3.8291710426041057</v>
      </c>
      <c r="U35" s="290">
        <f t="shared" ref="U35:X35" si="21">U32*1000/U36</f>
        <v>4.3182043359972848</v>
      </c>
      <c r="V35" s="290">
        <f t="shared" si="21"/>
        <v>4.8359009236236243</v>
      </c>
      <c r="W35" s="290">
        <f t="shared" si="21"/>
        <v>5.3899865556533548</v>
      </c>
      <c r="X35" s="290">
        <f t="shared" si="21"/>
        <v>5.9694237905550196</v>
      </c>
      <c r="Y35" s="441">
        <f>IFERROR((X35/T35)^(1/(MID($X$8,3,4)-MID($T$8,3,4)))-1,0)</f>
        <v>0.11739548327598892</v>
      </c>
      <c r="AC35" s="436" t="s">
        <v>490</v>
      </c>
      <c r="AD35" s="424"/>
      <c r="AE35" s="424"/>
      <c r="AF35" s="282">
        <f>AF31*1000/AF33</f>
        <v>47.567268590173256</v>
      </c>
    </row>
    <row r="36" spans="2:33">
      <c r="B36" s="321" t="s">
        <v>314</v>
      </c>
      <c r="C36" s="321"/>
      <c r="D36" s="321"/>
      <c r="E36" s="321"/>
      <c r="F36" s="321"/>
      <c r="H36" s="270" t="s">
        <v>290</v>
      </c>
      <c r="J36" s="284">
        <v>100588677</v>
      </c>
      <c r="K36" s="284">
        <v>98522776</v>
      </c>
      <c r="L36" s="284">
        <v>99268705</v>
      </c>
      <c r="M36" s="284">
        <v>94144062</v>
      </c>
      <c r="N36" s="284">
        <v>94327785</v>
      </c>
      <c r="O36" s="268"/>
      <c r="P36" s="284">
        <v>94448376</v>
      </c>
      <c r="Q36" s="284">
        <v>93857850</v>
      </c>
      <c r="R36" s="284">
        <f>Q36</f>
        <v>93857850</v>
      </c>
      <c r="S36" s="85"/>
      <c r="T36" s="284">
        <f>R36</f>
        <v>93857850</v>
      </c>
      <c r="U36" s="284">
        <f>T36</f>
        <v>93857850</v>
      </c>
      <c r="V36" s="284">
        <f t="shared" ref="V36:X36" si="22">U36</f>
        <v>93857850</v>
      </c>
      <c r="W36" s="284">
        <f t="shared" si="22"/>
        <v>93857850</v>
      </c>
      <c r="X36" s="284">
        <f t="shared" si="22"/>
        <v>93857850</v>
      </c>
      <c r="AC36" s="437" t="s">
        <v>491</v>
      </c>
      <c r="AD36" s="128"/>
      <c r="AE36" s="128"/>
      <c r="AF36" s="438">
        <f>($AF$35-$F$21)/$F$21</f>
        <v>-3.4755101660445306E-2</v>
      </c>
      <c r="AG36" s="806"/>
    </row>
    <row r="37" spans="2:33">
      <c r="B37" s="323"/>
      <c r="C37" s="366" t="s">
        <v>274</v>
      </c>
      <c r="D37" s="366" t="s">
        <v>315</v>
      </c>
      <c r="E37" s="366" t="s">
        <v>316</v>
      </c>
      <c r="F37" s="366" t="s">
        <v>317</v>
      </c>
      <c r="J37" s="291"/>
      <c r="K37" s="291"/>
      <c r="L37" s="291"/>
      <c r="M37" s="291"/>
      <c r="N37" s="291"/>
      <c r="O37" s="268"/>
      <c r="S37" s="85"/>
    </row>
    <row r="38" spans="2:33">
      <c r="B38" s="323"/>
      <c r="C38" s="367">
        <v>45504</v>
      </c>
      <c r="D38" s="368" t="str">
        <f>_xlfn.CONCAT(MID(T8,3,4),"E")</f>
        <v>2026E</v>
      </c>
      <c r="E38" s="368" t="str">
        <f>_xlfn.CONCAT(MID(U8,3,4),"E")</f>
        <v>2027E</v>
      </c>
      <c r="F38" s="368" t="str">
        <f>_xlfn.CONCAT(MID(V8,3,4),"E")</f>
        <v>2028E</v>
      </c>
      <c r="H38" s="270" t="s">
        <v>448</v>
      </c>
      <c r="J38" s="284">
        <f>J22</f>
        <v>112256</v>
      </c>
      <c r="K38" s="284">
        <f t="shared" ref="K38:N38" si="23">K22</f>
        <v>103771</v>
      </c>
      <c r="L38" s="284">
        <f t="shared" si="23"/>
        <v>105672</v>
      </c>
      <c r="M38" s="284">
        <f>M22</f>
        <v>102339</v>
      </c>
      <c r="N38" s="284">
        <f t="shared" si="23"/>
        <v>102487</v>
      </c>
      <c r="O38" s="268"/>
      <c r="P38" s="284">
        <f>P22</f>
        <v>27815</v>
      </c>
      <c r="Q38" s="284">
        <f>Q22</f>
        <v>29479</v>
      </c>
      <c r="R38" s="284">
        <f>N38+Q38-P38</f>
        <v>104151</v>
      </c>
      <c r="S38" s="85"/>
      <c r="T38" s="284">
        <f>T22</f>
        <v>122976.13732800001</v>
      </c>
      <c r="U38" s="284">
        <f>U22</f>
        <v>130846.61011699201</v>
      </c>
      <c r="V38" s="284">
        <f>V22</f>
        <v>138697.40672401155</v>
      </c>
      <c r="W38" s="284">
        <f>W22</f>
        <v>146741.85631400422</v>
      </c>
      <c r="X38" s="284">
        <f>X22</f>
        <v>154665.91655496045</v>
      </c>
      <c r="AC38" s="853" t="s">
        <v>463</v>
      </c>
      <c r="AD38" s="853"/>
      <c r="AE38" s="853"/>
      <c r="AF38" s="853"/>
    </row>
    <row r="39" spans="2:33">
      <c r="B39" s="359" t="s">
        <v>318</v>
      </c>
      <c r="C39" s="391">
        <f>IFERROR($F$34/C40,"NA")</f>
        <v>1.1767320099397813</v>
      </c>
      <c r="D39" s="391">
        <f t="shared" ref="D39:F39" si="24">IFERROR($F$34/D40,"NA")</f>
        <v>1.1018089980709562</v>
      </c>
      <c r="E39" s="391">
        <f t="shared" si="24"/>
        <v>1.035534772623079</v>
      </c>
      <c r="F39" s="391">
        <f t="shared" si="24"/>
        <v>0.97691959681422535</v>
      </c>
      <c r="H39" s="270" t="s">
        <v>449</v>
      </c>
      <c r="J39" s="284">
        <f>CF!D26</f>
        <v>-217433</v>
      </c>
      <c r="K39" s="284">
        <f>CF!E26</f>
        <v>-159242</v>
      </c>
      <c r="L39" s="284">
        <f>CF!F26</f>
        <v>-262429</v>
      </c>
      <c r="M39" s="284">
        <f>CF!G26</f>
        <v>-199513</v>
      </c>
      <c r="N39" s="284">
        <f>CF!H26</f>
        <v>-199625</v>
      </c>
      <c r="O39" s="268"/>
      <c r="P39" s="284">
        <f>CF!I26</f>
        <v>-72520</v>
      </c>
      <c r="Q39" s="284">
        <f>CF!J26</f>
        <v>-45198</v>
      </c>
      <c r="R39" s="284">
        <f>N39+Q39-P39</f>
        <v>-172303</v>
      </c>
      <c r="S39" s="85"/>
      <c r="T39" s="284">
        <f>-T11*T79</f>
        <v>-279491.22120000003</v>
      </c>
      <c r="U39" s="284">
        <f>-U11*U79</f>
        <v>-312247.59232464002</v>
      </c>
      <c r="V39" s="284">
        <f>-V11*V79</f>
        <v>-346743.51681002887</v>
      </c>
      <c r="W39" s="284">
        <f>-W11*W79</f>
        <v>-383529.85172978381</v>
      </c>
      <c r="X39" s="284">
        <f>-X11*X79</f>
        <v>-404240.46372319211</v>
      </c>
      <c r="AC39" s="424" t="str">
        <f>_xlfn.CONCAT("Terminal Year Free Cash Flow (",MID(X8,3,4),"E)")</f>
        <v>Terminal Year Free Cash Flow (2030E)</v>
      </c>
      <c r="AD39" s="424"/>
      <c r="AE39" s="424"/>
      <c r="AF39" s="435">
        <f>X46</f>
        <v>227609.18070470131</v>
      </c>
    </row>
    <row r="40" spans="2:33">
      <c r="B40" s="323" t="s">
        <v>319</v>
      </c>
      <c r="C40" s="392">
        <f>R11</f>
        <v>5233918</v>
      </c>
      <c r="D40" s="393">
        <f>T11</f>
        <v>5589824.4240000006</v>
      </c>
      <c r="E40" s="393">
        <f>U11</f>
        <v>5947573.187136001</v>
      </c>
      <c r="F40" s="393">
        <f>V11</f>
        <v>6304427.5783641618</v>
      </c>
      <c r="H40" s="270" t="s">
        <v>450</v>
      </c>
      <c r="J40" s="293"/>
      <c r="K40" s="293">
        <f>NWC!D22</f>
        <v>-253130</v>
      </c>
      <c r="L40" s="293">
        <f>NWC!E22</f>
        <v>-141721</v>
      </c>
      <c r="M40" s="293">
        <f>NWC!F22</f>
        <v>-35293</v>
      </c>
      <c r="N40" s="293">
        <f>NWC!G22</f>
        <v>-176767</v>
      </c>
      <c r="O40" s="268"/>
      <c r="P40" s="456"/>
      <c r="Q40" s="457"/>
      <c r="R40" s="457"/>
      <c r="S40" s="85"/>
      <c r="T40" s="292">
        <f>NWC!J25</f>
        <v>311552.01596524124</v>
      </c>
      <c r="U40" s="293">
        <f>NWC!K25</f>
        <v>2923.0886505492963</v>
      </c>
      <c r="V40" s="293">
        <f>NWC!L25</f>
        <v>2217.1447634473443</v>
      </c>
      <c r="W40" s="293">
        <f>NWC!M25</f>
        <v>1719.6931427133968</v>
      </c>
      <c r="X40" s="293">
        <f>NWC!N25</f>
        <v>907.47312355285976</v>
      </c>
      <c r="AC40" s="424" t="s">
        <v>452</v>
      </c>
      <c r="AD40" s="424"/>
      <c r="AE40" s="424"/>
      <c r="AF40" s="439">
        <f>J43</f>
        <v>7.229919053892532E-2</v>
      </c>
    </row>
    <row r="41" spans="2:33">
      <c r="B41" s="359" t="s">
        <v>190</v>
      </c>
      <c r="C41" s="391">
        <f>IFERROR($F$34/C42,"NA")</f>
        <v>11.125656814396526</v>
      </c>
      <c r="D41" s="391">
        <f t="shared" ref="D41:F41" si="25">IFERROR($F$34/D42,"NA")</f>
        <v>10.493419029247207</v>
      </c>
      <c r="E41" s="391">
        <f t="shared" si="25"/>
        <v>9.4139524783916286</v>
      </c>
      <c r="F41" s="391">
        <f t="shared" si="25"/>
        <v>8.4949530157758772</v>
      </c>
      <c r="H41" s="128"/>
      <c r="J41" s="284"/>
      <c r="K41" s="284"/>
      <c r="L41" s="284"/>
      <c r="M41" s="284"/>
      <c r="N41" s="284"/>
      <c r="O41" s="268"/>
      <c r="P41" s="128"/>
      <c r="Q41" s="128"/>
      <c r="R41" s="128"/>
      <c r="S41" s="85"/>
      <c r="T41" s="128"/>
      <c r="U41" s="128"/>
      <c r="V41" s="128"/>
      <c r="W41" s="128"/>
      <c r="X41" s="128"/>
      <c r="AC41" s="424" t="s">
        <v>467</v>
      </c>
      <c r="AD41" s="424"/>
      <c r="AE41" s="424"/>
      <c r="AF41" s="433">
        <f>AF15</f>
        <v>6590877.1259216117</v>
      </c>
      <c r="AG41" s="807"/>
    </row>
    <row r="42" spans="2:33">
      <c r="B42" s="323" t="s">
        <v>319</v>
      </c>
      <c r="C42" s="392">
        <f>R62</f>
        <v>553578</v>
      </c>
      <c r="D42" s="392">
        <f>T20</f>
        <v>586931.56451999978</v>
      </c>
      <c r="E42" s="392">
        <f t="shared" ref="E42:F42" si="26">U20</f>
        <v>654233.05058496003</v>
      </c>
      <c r="F42" s="392">
        <f t="shared" si="26"/>
        <v>725009.17151187826</v>
      </c>
      <c r="H42" s="126" t="s">
        <v>451</v>
      </c>
      <c r="J42" s="131">
        <f>J32+SUM(J38:J40)</f>
        <v>62919</v>
      </c>
      <c r="K42" s="131">
        <f t="shared" ref="K42:N42" si="27">K32+SUM(K38:K40)</f>
        <v>-307365</v>
      </c>
      <c r="L42" s="131">
        <f t="shared" si="27"/>
        <v>12138</v>
      </c>
      <c r="M42" s="131">
        <f t="shared" si="27"/>
        <v>27232</v>
      </c>
      <c r="N42" s="131">
        <f t="shared" si="27"/>
        <v>13769</v>
      </c>
      <c r="O42" s="268"/>
      <c r="P42" s="131"/>
      <c r="Q42" s="131"/>
      <c r="R42" s="131"/>
      <c r="S42" s="85"/>
      <c r="T42" s="131">
        <f>T32+SUM(T38:T40)</f>
        <v>514434.69343432097</v>
      </c>
      <c r="U42" s="131">
        <f t="shared" ref="U42:X42" si="28">U32+SUM(U38:U40)</f>
        <v>226819.48128028406</v>
      </c>
      <c r="V42" s="131">
        <f t="shared" si="28"/>
        <v>248058.29818175765</v>
      </c>
      <c r="W42" s="131">
        <f t="shared" si="28"/>
        <v>270824.24736946303</v>
      </c>
      <c r="X42" s="131">
        <f t="shared" si="28"/>
        <v>311610.20867566555</v>
      </c>
      <c r="AC42" s="424"/>
      <c r="AD42" s="424"/>
      <c r="AE42" s="424"/>
      <c r="AF42" s="424"/>
    </row>
    <row r="43" spans="2:33">
      <c r="B43" s="359" t="s">
        <v>320</v>
      </c>
      <c r="C43" s="391">
        <f>IFERROR($F$34/C44,"NA")</f>
        <v>14.565497946046168</v>
      </c>
      <c r="D43" s="391">
        <f t="shared" ref="D43:F43" si="29">IFERROR($F$34/D44,"NA")</f>
        <v>13.274807205674179</v>
      </c>
      <c r="E43" s="391">
        <f t="shared" si="29"/>
        <v>11.767440597989536</v>
      </c>
      <c r="F43" s="391">
        <f t="shared" si="29"/>
        <v>10.504511793701354</v>
      </c>
      <c r="H43" s="270" t="s">
        <v>452</v>
      </c>
      <c r="J43" s="276">
        <f>WACC!D26</f>
        <v>7.229919053892532E-2</v>
      </c>
      <c r="K43" s="284"/>
      <c r="L43" s="284"/>
      <c r="M43" s="284"/>
      <c r="N43" s="284"/>
      <c r="O43" s="268"/>
      <c r="P43" s="128"/>
      <c r="Q43" s="128"/>
      <c r="R43" s="128"/>
      <c r="S43" s="85"/>
      <c r="T43" s="128"/>
      <c r="U43" s="128"/>
      <c r="V43" s="128"/>
      <c r="W43" s="128"/>
      <c r="X43" s="128"/>
      <c r="AC43" s="436" t="s">
        <v>463</v>
      </c>
      <c r="AD43" s="422"/>
      <c r="AE43" s="424"/>
      <c r="AF43" s="253">
        <f>($AF$40-($X$46/$AF$41))/(1+($X$46/$AF$41))</f>
        <v>3.6504568499178339E-2</v>
      </c>
    </row>
    <row r="44" spans="2:33">
      <c r="B44" s="323" t="s">
        <v>319</v>
      </c>
      <c r="C44" s="392">
        <f>R57</f>
        <v>422843</v>
      </c>
      <c r="D44" s="393">
        <f>T23</f>
        <v>463955.42719199974</v>
      </c>
      <c r="E44" s="393">
        <f t="shared" ref="E44:F44" si="30">U23</f>
        <v>523386.440467968</v>
      </c>
      <c r="F44" s="393">
        <f t="shared" si="30"/>
        <v>586311.76478786673</v>
      </c>
      <c r="H44" s="270" t="s">
        <v>453</v>
      </c>
      <c r="J44" s="284"/>
      <c r="K44" s="284"/>
      <c r="L44" s="284"/>
      <c r="M44" s="284"/>
      <c r="N44" s="284"/>
      <c r="O44" s="268"/>
      <c r="P44" s="128"/>
      <c r="Q44" s="128"/>
      <c r="R44" s="128"/>
      <c r="S44" s="85"/>
      <c r="T44" s="294">
        <f>IF($C$5="Yes",0.5,1)</f>
        <v>0.5</v>
      </c>
      <c r="U44" s="294">
        <f>IF($C$5="Yes",1.5,2)</f>
        <v>1.5</v>
      </c>
      <c r="V44" s="294">
        <f>IF($C$5="Yes",2.5,3)</f>
        <v>2.5</v>
      </c>
      <c r="W44" s="294">
        <f>IF($C$5="Yes",3.5,4)</f>
        <v>3.5</v>
      </c>
      <c r="X44" s="294">
        <f>IF($C$5="Yes",4.5,5)</f>
        <v>4.5</v>
      </c>
      <c r="AC44" s="248"/>
      <c r="AD44" s="248"/>
      <c r="AE44" s="248"/>
      <c r="AF44" s="248"/>
    </row>
    <row r="45" spans="2:33">
      <c r="B45" s="359" t="s">
        <v>321</v>
      </c>
      <c r="C45" s="391">
        <f>IFERROR($F$21/C46,"NA")</f>
        <v>13.909502749428299</v>
      </c>
      <c r="D45" s="391">
        <f t="shared" ref="D45:F45" si="31">IFERROR($F$21/D46,"NA")</f>
        <v>12.869626206743206</v>
      </c>
      <c r="E45" s="391">
        <f t="shared" si="31"/>
        <v>11.412151015919639</v>
      </c>
      <c r="F45" s="391">
        <f t="shared" si="31"/>
        <v>10.190448642002707</v>
      </c>
      <c r="H45" s="270" t="s">
        <v>454</v>
      </c>
      <c r="J45" s="284"/>
      <c r="K45" s="284"/>
      <c r="L45" s="284"/>
      <c r="M45" s="284"/>
      <c r="N45" s="284"/>
      <c r="O45" s="268"/>
      <c r="P45" s="128"/>
      <c r="Q45" s="128"/>
      <c r="R45" s="128"/>
      <c r="S45" s="85"/>
      <c r="T45" s="128">
        <f>1/(1+$J$43)^T$44</f>
        <v>0.96569950974218333</v>
      </c>
      <c r="U45" s="128">
        <f t="shared" ref="U45:X45" si="32">1/(1+$J$43)^U$44</f>
        <v>0.90058774478495474</v>
      </c>
      <c r="V45" s="128">
        <f t="shared" si="32"/>
        <v>0.8398661052167069</v>
      </c>
      <c r="W45" s="128">
        <f t="shared" si="32"/>
        <v>0.78323858921743628</v>
      </c>
      <c r="X45" s="128">
        <f t="shared" si="32"/>
        <v>0.73042915272909004</v>
      </c>
      <c r="AC45" s="853" t="s">
        <v>476</v>
      </c>
      <c r="AD45" s="853"/>
      <c r="AE45" s="853"/>
      <c r="AF45" s="853"/>
    </row>
    <row r="46" spans="2:33">
      <c r="B46" s="323" t="s">
        <v>319</v>
      </c>
      <c r="C46" s="394">
        <f>R70</f>
        <v>3.542901632628491</v>
      </c>
      <c r="D46" s="386">
        <f>T32*1000/T36</f>
        <v>3.8291710426041057</v>
      </c>
      <c r="E46" s="386">
        <f t="shared" ref="E46:F46" si="33">U32*1000/U36</f>
        <v>4.3182043359972848</v>
      </c>
      <c r="F46" s="386">
        <f t="shared" si="33"/>
        <v>4.8359009236236243</v>
      </c>
      <c r="H46" s="222" t="s">
        <v>455</v>
      </c>
      <c r="I46" s="489"/>
      <c r="J46" s="224"/>
      <c r="K46" s="224"/>
      <c r="L46" s="224"/>
      <c r="M46" s="224"/>
      <c r="N46" s="224"/>
      <c r="O46" s="228"/>
      <c r="P46" s="223"/>
      <c r="Q46" s="223"/>
      <c r="R46" s="223"/>
      <c r="S46" s="488"/>
      <c r="T46" s="226">
        <f>T42*T45</f>
        <v>496789.33124389412</v>
      </c>
      <c r="U46" s="226">
        <f t="shared" ref="U46:X46" si="34">U42*U45</f>
        <v>204270.84511950429</v>
      </c>
      <c r="V46" s="226">
        <f t="shared" si="34"/>
        <v>208335.75676059732</v>
      </c>
      <c r="W46" s="226">
        <f t="shared" si="34"/>
        <v>212120.00143553221</v>
      </c>
      <c r="X46" s="226">
        <f t="shared" si="34"/>
        <v>227609.18070470131</v>
      </c>
      <c r="AC46" s="440" t="s">
        <v>159</v>
      </c>
      <c r="AD46" s="424"/>
      <c r="AE46" s="424"/>
      <c r="AF46" s="435">
        <f>AF21</f>
        <v>5998165.5602461929</v>
      </c>
    </row>
    <row r="47" spans="2:33">
      <c r="B47" s="650" t="s">
        <v>217</v>
      </c>
      <c r="C47" s="353">
        <f>IFERROR(C48/$F$28,"NA")</f>
        <v>0</v>
      </c>
      <c r="D47" s="651">
        <f t="shared" ref="D47:F47" si="35">IFERROR(D48/$F$28,"NA")</f>
        <v>0.1112215514705478</v>
      </c>
      <c r="E47" s="651">
        <f t="shared" si="35"/>
        <v>4.9038711684321654E-2</v>
      </c>
      <c r="F47" s="651">
        <f t="shared" si="35"/>
        <v>5.3630575719406166E-2</v>
      </c>
      <c r="O47" s="268"/>
      <c r="S47" s="85"/>
      <c r="AC47" s="424" t="str">
        <f>_xlfn.CONCAT("LTM ",R8," EBITDA")</f>
        <v>LTM Oct 31, 2025 EBITDA</v>
      </c>
      <c r="AD47" s="424"/>
      <c r="AE47" s="424"/>
      <c r="AF47" s="433">
        <f>R20</f>
        <v>500063</v>
      </c>
    </row>
    <row r="48" spans="2:33">
      <c r="B48" s="323" t="s">
        <v>319</v>
      </c>
      <c r="C48" s="370">
        <f>R42</f>
        <v>0</v>
      </c>
      <c r="D48" s="386">
        <f>T42</f>
        <v>514434.69343432097</v>
      </c>
      <c r="E48" s="386">
        <f t="shared" ref="E48:F48" si="36">U42</f>
        <v>226819.48128028406</v>
      </c>
      <c r="F48" s="386">
        <f t="shared" si="36"/>
        <v>248058.29818175765</v>
      </c>
      <c r="H48" s="84" t="s">
        <v>277</v>
      </c>
      <c r="J48" s="852"/>
      <c r="K48" s="852"/>
      <c r="L48" s="852"/>
      <c r="M48" s="852"/>
      <c r="N48" s="852"/>
      <c r="O48" s="83"/>
      <c r="P48" s="80"/>
      <c r="Q48" s="80"/>
      <c r="R48" s="80"/>
      <c r="S48" s="262"/>
      <c r="T48" s="16"/>
      <c r="U48" s="16"/>
      <c r="V48" s="16"/>
      <c r="W48" s="16"/>
      <c r="X48" s="16"/>
      <c r="AC48" s="128"/>
      <c r="AD48" s="128"/>
      <c r="AE48" s="128"/>
      <c r="AF48" s="128"/>
    </row>
    <row r="49" spans="2:33">
      <c r="B49" s="346"/>
      <c r="C49" s="346"/>
      <c r="D49" s="371"/>
      <c r="E49" s="371"/>
      <c r="F49" s="371"/>
      <c r="H49" s="126" t="s">
        <v>278</v>
      </c>
      <c r="I49" s="38"/>
      <c r="J49" s="624">
        <f>J16</f>
        <v>1239826</v>
      </c>
      <c r="K49" s="624">
        <f>K16</f>
        <v>861906</v>
      </c>
      <c r="L49" s="624">
        <f>L16</f>
        <v>1493950</v>
      </c>
      <c r="M49" s="624">
        <f>M16</f>
        <v>1427216</v>
      </c>
      <c r="N49" s="624">
        <f>N16</f>
        <v>1715404</v>
      </c>
      <c r="O49" s="229"/>
      <c r="P49" s="624">
        <f>P16</f>
        <v>454407</v>
      </c>
      <c r="Q49" s="624">
        <f>Q16</f>
        <v>497319</v>
      </c>
      <c r="R49" s="624">
        <f>R16</f>
        <v>1758316</v>
      </c>
      <c r="S49" s="85"/>
      <c r="T49" s="16"/>
      <c r="U49" s="16"/>
      <c r="V49" s="16"/>
      <c r="W49" s="16"/>
      <c r="X49" s="16"/>
      <c r="AC49" s="128" t="s">
        <v>476</v>
      </c>
      <c r="AD49" s="128"/>
      <c r="AE49" s="128"/>
      <c r="AF49" s="492">
        <f>AF46/AF47</f>
        <v>11.994819773200962</v>
      </c>
    </row>
    <row r="50" spans="2:33">
      <c r="B50" s="321" t="s">
        <v>322</v>
      </c>
      <c r="C50" s="321"/>
      <c r="D50" s="321"/>
      <c r="E50" s="321"/>
      <c r="F50" s="321"/>
      <c r="H50" s="270" t="s">
        <v>279</v>
      </c>
      <c r="I50" s="38"/>
      <c r="J50" s="653">
        <v>14611</v>
      </c>
      <c r="K50" s="653">
        <v>15496</v>
      </c>
      <c r="L50" s="653">
        <v>0</v>
      </c>
      <c r="M50" s="653">
        <v>6417</v>
      </c>
      <c r="N50" s="653">
        <v>11875</v>
      </c>
      <c r="O50" s="229"/>
      <c r="P50" s="653">
        <v>3192</v>
      </c>
      <c r="Q50" s="653">
        <v>0</v>
      </c>
      <c r="R50" s="654">
        <f>N50+Q50-P50</f>
        <v>8683</v>
      </c>
      <c r="S50" s="81"/>
      <c r="T50" s="16"/>
      <c r="U50" s="16"/>
      <c r="V50" s="16"/>
      <c r="W50" s="16"/>
      <c r="X50" s="16"/>
      <c r="AG50" s="372"/>
    </row>
    <row r="51" spans="2:33">
      <c r="B51" s="357" t="s">
        <v>323</v>
      </c>
      <c r="C51" s="323"/>
      <c r="D51" s="323"/>
      <c r="E51" s="323"/>
      <c r="F51" s="353">
        <f>IFERROR(R57/AVERAGE(BS!D58:H58),0)</f>
        <v>0.13091004311047286</v>
      </c>
      <c r="H51" s="127" t="s">
        <v>289</v>
      </c>
      <c r="I51" s="38"/>
      <c r="J51" s="131">
        <f>SUM(J49:J50)</f>
        <v>1254437</v>
      </c>
      <c r="K51" s="131">
        <f t="shared" ref="K51:N51" si="37">SUM(K49:K50)</f>
        <v>877402</v>
      </c>
      <c r="L51" s="131">
        <f t="shared" si="37"/>
        <v>1493950</v>
      </c>
      <c r="M51" s="131">
        <f t="shared" si="37"/>
        <v>1433633</v>
      </c>
      <c r="N51" s="131">
        <f t="shared" si="37"/>
        <v>1727279</v>
      </c>
      <c r="O51" s="229">
        <f>IFERROR((N51/J51)^(1/(MID($N$8,3,4)-MID($J$8,3,4)))-1,0)</f>
        <v>8.3249281002915287E-2</v>
      </c>
      <c r="P51" s="131">
        <f t="shared" ref="P51" si="38">SUM(P49:P50)</f>
        <v>457599</v>
      </c>
      <c r="Q51" s="131">
        <f t="shared" ref="Q51" si="39">SUM(Q49:Q50)</f>
        <v>497319</v>
      </c>
      <c r="R51" s="131">
        <f t="shared" ref="R51" si="40">SUM(R49:R50)</f>
        <v>1766999</v>
      </c>
      <c r="S51" s="81"/>
      <c r="T51" s="16"/>
      <c r="U51" s="16"/>
      <c r="V51" s="16"/>
      <c r="W51" s="16"/>
      <c r="X51" s="16"/>
      <c r="Z51" s="248"/>
      <c r="AA51" s="854" t="s">
        <v>159</v>
      </c>
      <c r="AB51" s="854"/>
      <c r="AC51" s="854"/>
      <c r="AD51" s="854"/>
      <c r="AE51" s="854"/>
      <c r="AF51" s="854"/>
    </row>
    <row r="52" spans="2:33" ht="16" customHeight="1">
      <c r="B52" s="357" t="s">
        <v>324</v>
      </c>
      <c r="C52" s="323"/>
      <c r="D52" s="323"/>
      <c r="E52" s="323"/>
      <c r="F52" s="353">
        <f>IFERROR(R67/AVERAGE(BS!D47:H47),0)</f>
        <v>0.19369855642267952</v>
      </c>
      <c r="H52" s="270" t="s">
        <v>265</v>
      </c>
      <c r="J52" s="279">
        <f>IFERROR(J51/J11,0)</f>
        <v>0.31488540181219438</v>
      </c>
      <c r="K52" s="279">
        <f>IFERROR(K51/K11,0)</f>
        <v>0.25433792429536178</v>
      </c>
      <c r="L52" s="279">
        <f>IFERROR(L51/L11,0)</f>
        <v>0.32842994897733735</v>
      </c>
      <c r="M52" s="279">
        <f>IFERROR(M51/M11,0)</f>
        <v>0.29896977088131488</v>
      </c>
      <c r="N52" s="279">
        <f>IFERROR(N51/N11,0)</f>
        <v>0.33518330323251189</v>
      </c>
      <c r="O52" s="273"/>
      <c r="P52" s="279">
        <f>IFERROR(P51/P11,0)</f>
        <v>0.35717162539982861</v>
      </c>
      <c r="Q52" s="279">
        <f>IFERROR(Q51/Q11,0)</f>
        <v>0.3651776437285908</v>
      </c>
      <c r="R52" s="279">
        <f>IFERROR(R51/R11,0)</f>
        <v>0.33760540382940657</v>
      </c>
      <c r="S52" s="85"/>
      <c r="T52" s="16"/>
      <c r="U52" s="16"/>
      <c r="V52" s="16"/>
      <c r="W52" s="16"/>
      <c r="X52" s="16"/>
      <c r="Z52" s="248"/>
      <c r="AA52" s="248"/>
      <c r="AB52" s="856" t="s">
        <v>471</v>
      </c>
      <c r="AC52" s="856"/>
      <c r="AD52" s="856"/>
      <c r="AE52" s="856"/>
      <c r="AF52" s="856"/>
    </row>
    <row r="53" spans="2:33" ht="16" customHeight="1">
      <c r="B53" s="357" t="s">
        <v>325</v>
      </c>
      <c r="C53" s="323"/>
      <c r="D53" s="323"/>
      <c r="E53" s="323"/>
      <c r="F53" s="353">
        <f>IFERROR(R67/AVERAGE(BS!D24:H24),0)</f>
        <v>9.529455502802818E-2</v>
      </c>
      <c r="H53" s="280"/>
      <c r="I53" s="281"/>
      <c r="J53" s="283"/>
      <c r="K53" s="283"/>
      <c r="L53" s="283"/>
      <c r="M53" s="283"/>
      <c r="N53" s="283"/>
      <c r="O53" s="273"/>
      <c r="P53" s="128"/>
      <c r="Q53" s="128"/>
      <c r="R53" s="128"/>
      <c r="S53" s="268"/>
      <c r="T53" s="16"/>
      <c r="U53" s="16"/>
      <c r="V53" s="16"/>
      <c r="W53" s="16"/>
      <c r="X53" s="16"/>
      <c r="Z53" s="855" t="s">
        <v>452</v>
      </c>
      <c r="AA53" s="494">
        <f>AF21</f>
        <v>5998165.5602461929</v>
      </c>
      <c r="AB53" s="497">
        <v>6.5</v>
      </c>
      <c r="AC53" s="389">
        <v>7</v>
      </c>
      <c r="AD53" s="390">
        <v>7.5</v>
      </c>
      <c r="AE53" s="389">
        <v>8</v>
      </c>
      <c r="AF53" s="389">
        <v>8.5</v>
      </c>
    </row>
    <row r="54" spans="2:33">
      <c r="B54" s="354" t="s">
        <v>326</v>
      </c>
      <c r="C54" s="323"/>
      <c r="D54" s="323"/>
      <c r="E54" s="323"/>
      <c r="F54" s="353">
        <f>IF(ISERROR((F25*4)/F21),"NA",(F25*4)/F21)</f>
        <v>0</v>
      </c>
      <c r="H54" s="637" t="s">
        <v>3629</v>
      </c>
      <c r="I54" s="281"/>
      <c r="J54" s="624">
        <f>J29</f>
        <v>239720</v>
      </c>
      <c r="K54" s="624">
        <f t="shared" ref="K54:N54" si="41">K29</f>
        <v>3513</v>
      </c>
      <c r="L54" s="624">
        <f t="shared" si="41"/>
        <v>404631</v>
      </c>
      <c r="M54" s="624">
        <f t="shared" si="41"/>
        <v>221279</v>
      </c>
      <c r="N54" s="624">
        <f t="shared" si="41"/>
        <v>381607</v>
      </c>
      <c r="O54" s="295"/>
      <c r="P54" s="624">
        <f>P29</f>
        <v>109683</v>
      </c>
      <c r="Q54" s="624">
        <f t="shared" ref="Q54:R54" si="42">Q29</f>
        <v>135832</v>
      </c>
      <c r="R54" s="624">
        <f t="shared" si="42"/>
        <v>407756</v>
      </c>
      <c r="S54" s="295"/>
      <c r="T54" s="16"/>
      <c r="U54" s="16"/>
      <c r="V54" s="16"/>
      <c r="W54" s="16"/>
      <c r="X54" s="16"/>
      <c r="Z54" s="855"/>
      <c r="AA54" s="495">
        <f>AA55-0.005</f>
        <v>6.3499999999999987E-2</v>
      </c>
      <c r="AB54" s="333">
        <f t="dataTable" ref="AB54:AF58" dt2D="1" dtr="1" r1="AF12" r2="J43" ca="1"/>
        <v>5571489.1339646857</v>
      </c>
      <c r="AC54" s="333">
        <v>5894460.8454283765</v>
      </c>
      <c r="AD54" s="333">
        <v>6217432.5568920672</v>
      </c>
      <c r="AE54" s="333">
        <v>6540404.268355757</v>
      </c>
      <c r="AF54" s="333">
        <v>6863375.9798194477</v>
      </c>
    </row>
    <row r="55" spans="2:33">
      <c r="B55" s="346"/>
      <c r="C55" s="346"/>
      <c r="D55" s="346"/>
      <c r="E55" s="346"/>
      <c r="F55" s="346"/>
      <c r="H55" s="270" t="s">
        <v>282</v>
      </c>
      <c r="I55" s="38"/>
      <c r="J55" s="284">
        <f>J50</f>
        <v>14611</v>
      </c>
      <c r="K55" s="284">
        <f t="shared" ref="K55:Q55" si="43">K50</f>
        <v>15496</v>
      </c>
      <c r="L55" s="284">
        <f t="shared" si="43"/>
        <v>0</v>
      </c>
      <c r="M55" s="284">
        <f t="shared" si="43"/>
        <v>6417</v>
      </c>
      <c r="N55" s="284">
        <f t="shared" si="43"/>
        <v>11875</v>
      </c>
      <c r="O55" s="296"/>
      <c r="P55" s="284">
        <f t="shared" si="43"/>
        <v>3192</v>
      </c>
      <c r="Q55" s="284">
        <f t="shared" si="43"/>
        <v>0</v>
      </c>
      <c r="R55" s="284">
        <f>N55+Q55-P55</f>
        <v>8683</v>
      </c>
      <c r="S55" s="296"/>
      <c r="T55" s="16"/>
      <c r="U55" s="16"/>
      <c r="V55" s="16"/>
      <c r="W55" s="16"/>
      <c r="X55" s="16"/>
      <c r="Z55" s="855"/>
      <c r="AA55" s="495">
        <f>AA56-0.005</f>
        <v>6.8499999999999991E-2</v>
      </c>
      <c r="AB55" s="333">
        <v>5460581.6405340116</v>
      </c>
      <c r="AC55" s="373">
        <v>5776067.0825021528</v>
      </c>
      <c r="AD55" s="373">
        <v>6091552.5244702902</v>
      </c>
      <c r="AE55" s="373">
        <v>6407037.9664384294</v>
      </c>
      <c r="AF55" s="333">
        <v>6722523.4084065687</v>
      </c>
    </row>
    <row r="56" spans="2:33">
      <c r="B56" s="321" t="s">
        <v>327</v>
      </c>
      <c r="C56" s="321"/>
      <c r="D56" s="321"/>
      <c r="E56" s="321"/>
      <c r="F56" s="321"/>
      <c r="H56" s="270" t="s">
        <v>281</v>
      </c>
      <c r="J56" s="90">
        <v>13911</v>
      </c>
      <c r="K56" s="90">
        <v>0</v>
      </c>
      <c r="L56" s="90">
        <v>0</v>
      </c>
      <c r="M56" s="90">
        <v>0</v>
      </c>
      <c r="N56" s="90">
        <v>6404</v>
      </c>
      <c r="O56" s="296"/>
      <c r="P56" s="90">
        <f>IFERROR(P55/#REF!,0)</f>
        <v>0</v>
      </c>
      <c r="Q56" s="90">
        <f>IFERROR(Q55/#REF!,0)</f>
        <v>0</v>
      </c>
      <c r="R56" s="90">
        <f>N56+Q56-P56</f>
        <v>6404</v>
      </c>
      <c r="S56" s="296"/>
      <c r="T56" s="16"/>
      <c r="U56" s="16"/>
      <c r="V56" s="16"/>
      <c r="W56" s="16"/>
      <c r="X56" s="16"/>
      <c r="Z56" s="855"/>
      <c r="AA56" s="496">
        <v>7.3499999999999996E-2</v>
      </c>
      <c r="AB56" s="333">
        <v>5352633.3937321836</v>
      </c>
      <c r="AC56" s="373">
        <v>5660839.8359502442</v>
      </c>
      <c r="AD56" s="374">
        <v>5969046.278168303</v>
      </c>
      <c r="AE56" s="373">
        <v>6277252.7203863626</v>
      </c>
      <c r="AF56" s="333">
        <v>6585459.1626044214</v>
      </c>
    </row>
    <row r="57" spans="2:33">
      <c r="B57" s="323" t="s">
        <v>328</v>
      </c>
      <c r="C57" s="323"/>
      <c r="D57" s="323"/>
      <c r="E57" s="323"/>
      <c r="F57" s="353">
        <f>IFERROR(BS!I39/(BS!I39+BS!I47),0)</f>
        <v>0.48615115407657455</v>
      </c>
      <c r="H57" s="127" t="s">
        <v>3627</v>
      </c>
      <c r="J57" s="131">
        <f>SUM(J54:J56)</f>
        <v>268242</v>
      </c>
      <c r="K57" s="131">
        <f t="shared" ref="K57:M57" si="44">SUM(K54:K56)</f>
        <v>19009</v>
      </c>
      <c r="L57" s="131">
        <f t="shared" si="44"/>
        <v>404631</v>
      </c>
      <c r="M57" s="131">
        <f t="shared" si="44"/>
        <v>227696</v>
      </c>
      <c r="N57" s="131">
        <f>SUM(N54:N56)</f>
        <v>399886</v>
      </c>
      <c r="O57" s="229">
        <f>IFERROR((N57/J57)^(1/(MID($N$8,3,4)-MID($J$8,3,4)))-1,0)</f>
        <v>0.10497475337802764</v>
      </c>
      <c r="P57" s="131">
        <f t="shared" ref="P57" si="45">SUM(P54:P56)</f>
        <v>112875</v>
      </c>
      <c r="Q57" s="131">
        <f t="shared" ref="Q57" si="46">SUM(Q54:Q56)</f>
        <v>135832</v>
      </c>
      <c r="R57" s="131">
        <f t="shared" ref="R57" si="47">SUM(R54:R56)</f>
        <v>422843</v>
      </c>
      <c r="S57" s="86"/>
      <c r="T57" s="16"/>
      <c r="U57" s="16"/>
      <c r="V57" s="16"/>
      <c r="W57" s="16"/>
      <c r="X57" s="16"/>
      <c r="Z57" s="855"/>
      <c r="AA57" s="495">
        <f>AA56+0.005</f>
        <v>7.85E-2</v>
      </c>
      <c r="AB57" s="333">
        <v>5247550.9282506239</v>
      </c>
      <c r="AC57" s="373">
        <v>5548678.9762231428</v>
      </c>
      <c r="AD57" s="373">
        <v>5849807.0241956599</v>
      </c>
      <c r="AE57" s="373">
        <v>6150935.072168177</v>
      </c>
      <c r="AF57" s="333">
        <v>6452063.1201406959</v>
      </c>
    </row>
    <row r="58" spans="2:33">
      <c r="B58" s="323" t="s">
        <v>329</v>
      </c>
      <c r="C58" s="323"/>
      <c r="D58" s="323"/>
      <c r="E58" s="323"/>
      <c r="F58" s="375">
        <f>IFERROR(BS!H39/IS!R62,0)</f>
        <v>3.6104559791032158</v>
      </c>
      <c r="H58" s="270" t="s">
        <v>265</v>
      </c>
      <c r="J58" s="279">
        <f>IFERROR(J57/J11,0)</f>
        <v>6.7333385377589025E-2</v>
      </c>
      <c r="K58" s="279">
        <f>IFERROR(K57/K11,0)</f>
        <v>5.5102559635498115E-3</v>
      </c>
      <c r="L58" s="279">
        <f>IFERROR(L57/L11,0)</f>
        <v>8.8954073887780039E-2</v>
      </c>
      <c r="M58" s="279">
        <f>IFERROR(M57/M11,0)</f>
        <v>4.7483715114392512E-2</v>
      </c>
      <c r="N58" s="279">
        <f>IFERROR(N57/N11,0)</f>
        <v>7.759899263317406E-2</v>
      </c>
      <c r="O58" s="273"/>
      <c r="P58" s="279">
        <f>IFERROR(P57/P11,0)</f>
        <v>8.8102786975071304E-2</v>
      </c>
      <c r="Q58" s="279">
        <f>IFERROR(Q57/Q11,0)</f>
        <v>9.9740427578560123E-2</v>
      </c>
      <c r="R58" s="279">
        <f>IFERROR(R57/R11,0)</f>
        <v>8.0788999751237989E-2</v>
      </c>
      <c r="S58" s="268"/>
      <c r="T58" s="16"/>
      <c r="U58" s="16"/>
      <c r="V58" s="16"/>
      <c r="W58" s="16"/>
      <c r="X58" s="16"/>
      <c r="Z58" s="855"/>
      <c r="AA58" s="495">
        <f>AA57+0.005</f>
        <v>8.3500000000000005E-2</v>
      </c>
      <c r="AB58" s="333">
        <v>5145244.1606889647</v>
      </c>
      <c r="AC58" s="333">
        <v>5439487.9994405061</v>
      </c>
      <c r="AD58" s="333">
        <v>5733731.8381920457</v>
      </c>
      <c r="AE58" s="333">
        <v>6027975.6769435862</v>
      </c>
      <c r="AF58" s="333">
        <v>6322219.5156951258</v>
      </c>
    </row>
    <row r="59" spans="2:33">
      <c r="B59" s="323" t="s">
        <v>330</v>
      </c>
      <c r="C59" s="323"/>
      <c r="D59" s="323"/>
      <c r="E59" s="323"/>
      <c r="F59" s="375">
        <f>IFERROR((BS!H39-SUM(BS!H10:H11))/IS!R62,0)</f>
        <v>2.7703485326367741</v>
      </c>
      <c r="H59" s="270"/>
      <c r="J59" s="279"/>
      <c r="K59" s="279"/>
      <c r="L59" s="279"/>
      <c r="M59" s="279"/>
      <c r="N59" s="279"/>
      <c r="O59" s="273"/>
      <c r="P59" s="279"/>
      <c r="Q59" s="279"/>
      <c r="R59" s="279"/>
      <c r="S59" s="268"/>
      <c r="T59" s="16"/>
      <c r="U59" s="16"/>
      <c r="V59" s="16"/>
      <c r="W59" s="16"/>
      <c r="X59" s="16"/>
    </row>
    <row r="60" spans="2:33">
      <c r="B60" s="323" t="s">
        <v>331</v>
      </c>
      <c r="C60" s="323"/>
      <c r="D60" s="323"/>
      <c r="E60" s="323"/>
      <c r="F60" s="375">
        <f>IFERROR(R62/-R26,0)</f>
        <v>72.249804228660921</v>
      </c>
      <c r="H60" s="270" t="s">
        <v>3630</v>
      </c>
      <c r="J60" s="645">
        <f>SUM(J28,J25:J26)</f>
        <v>7795</v>
      </c>
      <c r="K60" s="645">
        <f t="shared" ref="K60:R60" si="48">SUM(K28,K25:K26)</f>
        <v>-459</v>
      </c>
      <c r="L60" s="645">
        <f t="shared" si="48"/>
        <v>-3935</v>
      </c>
      <c r="M60" s="645">
        <f t="shared" si="48"/>
        <v>-5344</v>
      </c>
      <c r="N60" s="645">
        <f t="shared" si="48"/>
        <v>11812</v>
      </c>
      <c r="O60" s="273"/>
      <c r="P60" s="645">
        <f t="shared" si="48"/>
        <v>705</v>
      </c>
      <c r="Q60" s="645">
        <f t="shared" si="48"/>
        <v>7141</v>
      </c>
      <c r="R60" s="645">
        <f t="shared" si="48"/>
        <v>18248</v>
      </c>
      <c r="S60" s="268"/>
      <c r="T60" s="16"/>
      <c r="U60" s="16"/>
      <c r="V60" s="16"/>
      <c r="W60" s="16"/>
      <c r="X60" s="16"/>
      <c r="Z60" s="248"/>
      <c r="AA60" s="854" t="s">
        <v>463</v>
      </c>
      <c r="AB60" s="854"/>
      <c r="AC60" s="854"/>
      <c r="AD60" s="854"/>
      <c r="AE60" s="854"/>
      <c r="AF60" s="854"/>
    </row>
    <row r="61" spans="2:33" ht="16" customHeight="1">
      <c r="B61" s="323" t="s">
        <v>332</v>
      </c>
      <c r="C61" s="323"/>
      <c r="D61" s="323"/>
      <c r="E61" s="323"/>
      <c r="F61" s="375">
        <f>IFERROR((R62+R39)/-R26,0)</f>
        <v>49.761811537457582</v>
      </c>
      <c r="H61" s="270" t="s">
        <v>272</v>
      </c>
      <c r="J61" s="278">
        <v>112256</v>
      </c>
      <c r="K61" s="278">
        <v>103771</v>
      </c>
      <c r="L61" s="278">
        <v>105672</v>
      </c>
      <c r="M61" s="278">
        <v>102339</v>
      </c>
      <c r="N61" s="278">
        <v>102487</v>
      </c>
      <c r="O61" s="273"/>
      <c r="P61" s="278">
        <v>47000</v>
      </c>
      <c r="Q61" s="278">
        <v>57000</v>
      </c>
      <c r="R61" s="278">
        <f>N61+Q61-P61</f>
        <v>112487</v>
      </c>
      <c r="S61" s="268"/>
      <c r="T61" s="16"/>
      <c r="U61" s="16"/>
      <c r="V61" s="16"/>
      <c r="W61" s="16"/>
      <c r="X61" s="16"/>
      <c r="Z61" s="248"/>
      <c r="AA61" s="248"/>
      <c r="AB61" s="856" t="s">
        <v>471</v>
      </c>
      <c r="AC61" s="856"/>
      <c r="AD61" s="856"/>
      <c r="AE61" s="856"/>
      <c r="AF61" s="856"/>
    </row>
    <row r="62" spans="2:33">
      <c r="B62" s="323" t="s">
        <v>333</v>
      </c>
      <c r="C62" s="323"/>
      <c r="D62" s="323"/>
      <c r="E62" s="323"/>
      <c r="F62" s="375">
        <f>IFERROR(R57/-R26,0)</f>
        <v>55.187026885930564</v>
      </c>
      <c r="H62" s="127" t="s">
        <v>284</v>
      </c>
      <c r="J62" s="131">
        <f>J57+J60+J61</f>
        <v>388293</v>
      </c>
      <c r="K62" s="131">
        <f t="shared" ref="K62:N62" si="49">K57+K60+K61</f>
        <v>122321</v>
      </c>
      <c r="L62" s="131">
        <f t="shared" si="49"/>
        <v>506368</v>
      </c>
      <c r="M62" s="131">
        <f t="shared" si="49"/>
        <v>324691</v>
      </c>
      <c r="N62" s="131">
        <f t="shared" si="49"/>
        <v>514185</v>
      </c>
      <c r="O62" s="229">
        <f>IFERROR((N62/J62)^(1/(MID($N$8,3,4)-MID($J$8,3,4)))-1,0)</f>
        <v>7.2728849344684487E-2</v>
      </c>
      <c r="P62" s="131">
        <f t="shared" ref="P62" si="50">P57+P60+P61</f>
        <v>160580</v>
      </c>
      <c r="Q62" s="131">
        <f t="shared" ref="Q62" si="51">Q57+Q60+Q61</f>
        <v>199973</v>
      </c>
      <c r="R62" s="131">
        <f t="shared" ref="R62" si="52">R57+R60+R61</f>
        <v>553578</v>
      </c>
      <c r="S62" s="268"/>
      <c r="T62" s="16"/>
      <c r="U62" s="16"/>
      <c r="V62" s="16"/>
      <c r="W62" s="16"/>
      <c r="X62" s="16"/>
      <c r="Z62" s="855" t="s">
        <v>452</v>
      </c>
      <c r="AA62" s="494">
        <f>AF43</f>
        <v>3.6504568499178339E-2</v>
      </c>
      <c r="AB62" s="389">
        <f>AC62-0.5</f>
        <v>6.5</v>
      </c>
      <c r="AC62" s="389">
        <f>AD62-0.5</f>
        <v>7</v>
      </c>
      <c r="AD62" s="390">
        <v>7.5</v>
      </c>
      <c r="AE62" s="389">
        <f>AD62+0.5</f>
        <v>8</v>
      </c>
      <c r="AF62" s="389">
        <f>AE62+0.5</f>
        <v>8.5</v>
      </c>
    </row>
    <row r="63" spans="2:33">
      <c r="B63" s="346"/>
      <c r="C63" s="346"/>
      <c r="D63" s="346"/>
      <c r="E63" s="346"/>
      <c r="F63" s="346"/>
      <c r="H63" s="270" t="s">
        <v>265</v>
      </c>
      <c r="J63" s="279">
        <f>IFERROR(J62/J11,0)</f>
        <v>9.7468264508988808E-2</v>
      </c>
      <c r="K63" s="279">
        <f>IFERROR(K62/K11,0)</f>
        <v>3.5457942012592801E-2</v>
      </c>
      <c r="L63" s="279">
        <f>IFERROR(L62/L11,0)</f>
        <v>0.11131993467234938</v>
      </c>
      <c r="M63" s="279">
        <f>IFERROR(M62/M11,0)</f>
        <v>6.7711048697417689E-2</v>
      </c>
      <c r="N63" s="279">
        <f>IFERROR(N62/N11,0)</f>
        <v>9.9779032091867698E-2</v>
      </c>
      <c r="O63" s="273"/>
      <c r="P63" s="279">
        <f>IFERROR(P62/P11,0)</f>
        <v>0.12533816640050455</v>
      </c>
      <c r="Q63" s="279">
        <f>IFERROR(Q62/Q11,0)</f>
        <v>0.14683868693803673</v>
      </c>
      <c r="R63" s="279">
        <f>IFERROR(R62/R11,0)</f>
        <v>0.10576741935964606</v>
      </c>
      <c r="S63" s="268"/>
      <c r="T63" s="16"/>
      <c r="U63" s="16"/>
      <c r="V63" s="16"/>
      <c r="W63" s="16"/>
      <c r="X63" s="16"/>
      <c r="Z63" s="855"/>
      <c r="AA63" s="387">
        <f>AA64-0.005</f>
        <v>6.3499999999999987E-2</v>
      </c>
      <c r="AB63" s="376">
        <f t="dataTable" ref="AB63:AF67" dt2D="1" dtr="1" r1="AF12" r2="J43" ca="1"/>
        <v>2.1268399685880974E-2</v>
      </c>
      <c r="AC63" s="377">
        <v>2.4173395420163904E-2</v>
      </c>
      <c r="AD63" s="377">
        <v>2.6704459535538197E-2</v>
      </c>
      <c r="AE63" s="377">
        <v>2.8929425114809906E-2</v>
      </c>
      <c r="AF63" s="377">
        <v>3.0900653757743812E-2</v>
      </c>
    </row>
    <row r="64" spans="2:33">
      <c r="B64" s="321" t="s">
        <v>334</v>
      </c>
      <c r="C64" s="321"/>
      <c r="D64" s="321"/>
      <c r="E64" s="321"/>
      <c r="F64" s="321"/>
      <c r="H64" s="270"/>
      <c r="J64" s="279"/>
      <c r="K64" s="279"/>
      <c r="L64" s="279"/>
      <c r="M64" s="279"/>
      <c r="N64" s="279"/>
      <c r="O64" s="273"/>
      <c r="P64" s="279"/>
      <c r="Q64" s="279"/>
      <c r="R64" s="279"/>
      <c r="S64" s="268"/>
      <c r="T64" s="16"/>
      <c r="U64" s="16"/>
      <c r="V64" s="16"/>
      <c r="W64" s="16"/>
      <c r="X64" s="16"/>
      <c r="Z64" s="855"/>
      <c r="AA64" s="387">
        <f>AA65-0.005</f>
        <v>6.8499999999999991E-2</v>
      </c>
      <c r="AB64" s="376">
        <v>2.6921552584447155E-2</v>
      </c>
      <c r="AC64" s="378">
        <v>2.9783830332885054E-2</v>
      </c>
      <c r="AD64" s="378">
        <v>3.2277408701239879E-2</v>
      </c>
      <c r="AE64" s="378">
        <v>3.4469217057617185E-2</v>
      </c>
      <c r="AF64" s="377">
        <v>3.6410909628548767E-2</v>
      </c>
    </row>
    <row r="65" spans="2:32">
      <c r="B65" s="323"/>
      <c r="C65" s="380" t="s">
        <v>166</v>
      </c>
      <c r="D65" s="380" t="s">
        <v>75</v>
      </c>
      <c r="E65" s="380" t="s">
        <v>335</v>
      </c>
      <c r="F65" s="380" t="s">
        <v>167</v>
      </c>
      <c r="H65" s="270" t="s">
        <v>3627</v>
      </c>
      <c r="I65" s="38"/>
      <c r="J65" s="624">
        <f>J57</f>
        <v>268242</v>
      </c>
      <c r="K65" s="624">
        <f t="shared" ref="K65:R65" si="53">K57</f>
        <v>19009</v>
      </c>
      <c r="L65" s="624">
        <f t="shared" si="53"/>
        <v>404631</v>
      </c>
      <c r="M65" s="624">
        <f t="shared" si="53"/>
        <v>227696</v>
      </c>
      <c r="N65" s="624">
        <f t="shared" si="53"/>
        <v>399886</v>
      </c>
      <c r="O65" s="229"/>
      <c r="P65" s="624">
        <f t="shared" si="53"/>
        <v>112875</v>
      </c>
      <c r="Q65" s="624">
        <f t="shared" si="53"/>
        <v>135832</v>
      </c>
      <c r="R65" s="624">
        <f t="shared" si="53"/>
        <v>422843</v>
      </c>
      <c r="S65" s="87"/>
      <c r="T65" s="16"/>
      <c r="U65" s="16"/>
      <c r="V65" s="16"/>
      <c r="W65" s="16"/>
      <c r="X65" s="16"/>
      <c r="Z65" s="855"/>
      <c r="AA65" s="388">
        <v>7.3499999999999996E-2</v>
      </c>
      <c r="AB65" s="376">
        <v>3.2562302297691942E-2</v>
      </c>
      <c r="AC65" s="378">
        <v>3.5382595043858468E-2</v>
      </c>
      <c r="AD65" s="379">
        <v>3.7839340419930582E-2</v>
      </c>
      <c r="AE65" s="378">
        <v>3.9998576283496179E-2</v>
      </c>
      <c r="AF65" s="377">
        <v>4.1911259402279265E-2</v>
      </c>
    </row>
    <row r="66" spans="2:32">
      <c r="B66" s="359" t="s">
        <v>336</v>
      </c>
      <c r="C66" s="323"/>
      <c r="D66" s="323"/>
      <c r="E66" s="323"/>
      <c r="F66" s="323"/>
      <c r="H66" s="270" t="s">
        <v>287</v>
      </c>
      <c r="I66" s="38"/>
      <c r="J66" s="655">
        <f>(J65-J29)*J31</f>
        <v>8528.0779999999995</v>
      </c>
      <c r="K66" s="655">
        <f t="shared" ref="K66:N66" si="54">(K65-K29)*K31</f>
        <v>10041.407999999999</v>
      </c>
      <c r="L66" s="655">
        <f t="shared" si="54"/>
        <v>0</v>
      </c>
      <c r="M66" s="655">
        <f t="shared" si="54"/>
        <v>1783.9260000000002</v>
      </c>
      <c r="N66" s="655">
        <f t="shared" si="54"/>
        <v>4496.634</v>
      </c>
      <c r="O66" s="229"/>
      <c r="P66" s="655">
        <f t="shared" ref="P66" si="55">(P65-P29)*P31</f>
        <v>734.16000000000008</v>
      </c>
      <c r="Q66" s="655">
        <f t="shared" ref="Q66" si="56">(Q65-Q29)*Q31</f>
        <v>0</v>
      </c>
      <c r="R66" s="655">
        <f t="shared" ref="R66" si="57">(R65-R29)*R31</f>
        <v>3470.01</v>
      </c>
      <c r="S66" s="87"/>
      <c r="T66" s="16"/>
      <c r="U66" s="16"/>
      <c r="V66" s="16"/>
      <c r="W66" s="16"/>
      <c r="X66" s="16"/>
      <c r="Z66" s="855"/>
      <c r="AA66" s="387">
        <f>AA65+0.005</f>
        <v>7.85E-2</v>
      </c>
      <c r="AB66" s="376">
        <v>3.8190916743147944E-2</v>
      </c>
      <c r="AC66" s="378">
        <v>4.0969944769613215E-2</v>
      </c>
      <c r="AD66" s="378">
        <v>4.3390498194065943E-2</v>
      </c>
      <c r="AE66" s="378">
        <v>4.5517735492536689E-2</v>
      </c>
      <c r="AF66" s="377">
        <v>4.7401925809298466E-2</v>
      </c>
    </row>
    <row r="67" spans="2:32">
      <c r="B67" s="647" t="s">
        <v>337</v>
      </c>
      <c r="C67" s="353">
        <f>IFERROR((N11-M11)/M11,0)</f>
        <v>7.4655846501241643E-2</v>
      </c>
      <c r="D67" s="353">
        <f>IFERROR((N62-M62)/M62,0)</f>
        <v>0.58361334314779278</v>
      </c>
      <c r="E67" s="353">
        <f>IFERROR((N42-M42)/M42,0)</f>
        <v>-0.49438160987074031</v>
      </c>
      <c r="F67" s="353">
        <f>IFERROR((N70-M70)/M70,0)</f>
        <v>0.84541456381145152</v>
      </c>
      <c r="H67" s="126" t="s">
        <v>288</v>
      </c>
      <c r="I67" s="38"/>
      <c r="J67" s="131">
        <f>J65+J30+J66</f>
        <v>205146.07800000001</v>
      </c>
      <c r="K67" s="131">
        <f t="shared" ref="K67:N67" si="58">K65+K30+K66</f>
        <v>26773.407999999999</v>
      </c>
      <c r="L67" s="131">
        <f t="shared" si="58"/>
        <v>310616</v>
      </c>
      <c r="M67" s="131">
        <f t="shared" si="58"/>
        <v>167899.92600000001</v>
      </c>
      <c r="N67" s="131">
        <f t="shared" si="58"/>
        <v>310449.63400000002</v>
      </c>
      <c r="O67" s="229">
        <f>IFERROR((N67/J67)^(1/(MID($N$8,3,4)-MID($J$8,3,4)))-1,0)</f>
        <v>0.10912880241871159</v>
      </c>
      <c r="P67" s="131">
        <f t="shared" ref="P67" si="59">P65-P30+P66</f>
        <v>140278.16</v>
      </c>
      <c r="Q67" s="131">
        <f t="shared" ref="Q67" si="60">Q65-Q30+Q66</f>
        <v>168753</v>
      </c>
      <c r="R67" s="131">
        <f t="shared" ref="R67" si="61">R65-R30+R66</f>
        <v>332529.13</v>
      </c>
      <c r="S67" s="87"/>
      <c r="T67" s="16"/>
      <c r="U67" s="16"/>
      <c r="V67" s="16"/>
      <c r="W67" s="16"/>
      <c r="X67" s="16"/>
      <c r="Z67" s="855"/>
      <c r="AA67" s="387">
        <f>AA66+0.005</f>
        <v>8.3500000000000005E-2</v>
      </c>
      <c r="AB67" s="376">
        <v>4.3807657787888081E-2</v>
      </c>
      <c r="AC67" s="377">
        <v>4.6546128819985384E-2</v>
      </c>
      <c r="AD67" s="377">
        <v>4.8931119773797369E-2</v>
      </c>
      <c r="AE67" s="377">
        <v>5.1026921791212855E-2</v>
      </c>
      <c r="AF67" s="377">
        <v>5.2883126145295674E-2</v>
      </c>
    </row>
    <row r="68" spans="2:32">
      <c r="B68" s="647" t="s">
        <v>338</v>
      </c>
      <c r="C68" s="353">
        <f>IFERROR((N11/L11)^0.5-1,0)</f>
        <v>6.4371907024585395E-2</v>
      </c>
      <c r="D68" s="353">
        <f>IFERROR((N62/L62)^0.5-1,0)</f>
        <v>7.6891333186506206E-3</v>
      </c>
      <c r="E68" s="353">
        <f>IFERROR((N42/L42)^0.5-1,0)</f>
        <v>6.5068728119021646E-2</v>
      </c>
      <c r="F68" s="353">
        <f>IFERROR((N70/L70)^0.5-1,0)</f>
        <v>2.5581137448599911E-2</v>
      </c>
      <c r="H68" s="270" t="s">
        <v>265</v>
      </c>
      <c r="J68" s="279">
        <f>IFERROR(J65/J11,0)</f>
        <v>6.7333385377589025E-2</v>
      </c>
      <c r="K68" s="279">
        <f>IFERROR(K65/K11,0)</f>
        <v>5.5102559635498115E-3</v>
      </c>
      <c r="L68" s="279">
        <f>IFERROR(L65/L11,0)</f>
        <v>8.8954073887780039E-2</v>
      </c>
      <c r="M68" s="279">
        <f>IFERROR(M65/M11,0)</f>
        <v>4.7483715114392512E-2</v>
      </c>
      <c r="N68" s="279">
        <f>IFERROR(N65/N11,0)</f>
        <v>7.759899263317406E-2</v>
      </c>
      <c r="O68" s="273"/>
      <c r="P68" s="279">
        <f>IFERROR(P65/P11,0)</f>
        <v>8.8102786975071304E-2</v>
      </c>
      <c r="Q68" s="279">
        <f>IFERROR(Q65/Q11,0)</f>
        <v>9.9740427578560123E-2</v>
      </c>
      <c r="R68" s="279">
        <f>IFERROR(R65/R11,0)</f>
        <v>8.0788999751237989E-2</v>
      </c>
      <c r="S68" s="87"/>
      <c r="T68" s="16"/>
      <c r="U68" s="16"/>
      <c r="V68" s="16"/>
      <c r="W68" s="16"/>
      <c r="X68" s="16"/>
    </row>
    <row r="69" spans="2:32">
      <c r="B69" s="359" t="s">
        <v>339</v>
      </c>
      <c r="C69" s="353"/>
      <c r="D69" s="353"/>
      <c r="E69" s="353"/>
      <c r="F69" s="353"/>
      <c r="H69" s="270"/>
      <c r="J69" s="128"/>
      <c r="K69" s="128"/>
      <c r="L69" s="128"/>
      <c r="M69" s="128"/>
      <c r="N69" s="128"/>
      <c r="O69" s="273"/>
      <c r="P69" s="128"/>
      <c r="Q69" s="128"/>
      <c r="R69" s="128"/>
      <c r="S69" s="87"/>
      <c r="T69" s="16"/>
      <c r="U69" s="16"/>
      <c r="V69" s="16"/>
      <c r="W69" s="16"/>
      <c r="X69" s="16"/>
      <c r="Z69" s="248"/>
      <c r="AA69" s="854" t="s">
        <v>490</v>
      </c>
      <c r="AB69" s="854"/>
      <c r="AC69" s="854"/>
      <c r="AD69" s="854"/>
      <c r="AE69" s="854"/>
      <c r="AF69" s="854"/>
    </row>
    <row r="70" spans="2:32" ht="16" customHeight="1">
      <c r="B70" s="647" t="s">
        <v>337</v>
      </c>
      <c r="C70" s="353">
        <f>IFERROR((T11-N11)/N11,0)</f>
        <v>8.4721006233557772E-2</v>
      </c>
      <c r="D70" s="353">
        <f>IFERROR((T20-N20)/N20,0)</f>
        <v>0.22613062533685921</v>
      </c>
      <c r="E70" s="353">
        <f>IFERROR((T42-N42)/N42,0)</f>
        <v>36.361805028275178</v>
      </c>
      <c r="F70" s="353">
        <f>IFERROR((T35-N35)/N35,0)</f>
        <v>0.25557826857827232</v>
      </c>
      <c r="H70" s="128" t="s">
        <v>292</v>
      </c>
      <c r="J70" s="290">
        <f>J67*1000/J36</f>
        <v>2.0394549776213879</v>
      </c>
      <c r="K70" s="290">
        <f>K67*1000/K36</f>
        <v>0.27174841277310335</v>
      </c>
      <c r="L70" s="290">
        <f>L67*1000/L36</f>
        <v>3.1290425315813275</v>
      </c>
      <c r="M70" s="290">
        <f>M67*1000/M36</f>
        <v>1.7834361767819196</v>
      </c>
      <c r="N70" s="290">
        <f>N67*1000/N36</f>
        <v>3.2911790942615688</v>
      </c>
      <c r="O70" s="268"/>
      <c r="P70" s="290">
        <f>P67*1000/P36</f>
        <v>1.4852363369381809</v>
      </c>
      <c r="Q70" s="290">
        <f>Q67*1000/Q36</f>
        <v>1.7979636226485052</v>
      </c>
      <c r="R70" s="290">
        <f>R67*1000/R36</f>
        <v>3.542901632628491</v>
      </c>
      <c r="S70" s="262"/>
      <c r="T70" s="16"/>
      <c r="U70" s="16"/>
      <c r="V70" s="16"/>
      <c r="W70" s="16"/>
      <c r="X70" s="16"/>
      <c r="Z70" s="248"/>
      <c r="AA70" s="248"/>
      <c r="AB70" s="856" t="s">
        <v>471</v>
      </c>
      <c r="AC70" s="856"/>
      <c r="AD70" s="856"/>
      <c r="AE70" s="856"/>
      <c r="AF70" s="856"/>
    </row>
    <row r="71" spans="2:32">
      <c r="B71" s="647" t="s">
        <v>338</v>
      </c>
      <c r="C71" s="353">
        <f>IFERROR((U11/N11)^0.5-1,0)</f>
        <v>7.4310546644919429E-2</v>
      </c>
      <c r="D71" s="353">
        <f>IFERROR((U20/N20)^0.5-1,0)</f>
        <v>0.16907097177295127</v>
      </c>
      <c r="E71" s="353">
        <f>IFERROR((U42/N42)^0.5-1,0)</f>
        <v>3.0587189245638076</v>
      </c>
      <c r="F71" s="353">
        <f>IFERROR((U35/N35)^0.5-1,0)</f>
        <v>0.18992915847309377</v>
      </c>
      <c r="O71" s="268"/>
      <c r="S71" s="262"/>
      <c r="T71" s="16"/>
      <c r="U71" s="16"/>
      <c r="V71" s="16"/>
      <c r="W71" s="16"/>
      <c r="X71" s="16"/>
      <c r="Z71" s="858" t="s">
        <v>502</v>
      </c>
      <c r="AA71" s="493">
        <f>AF35</f>
        <v>47.567268590173256</v>
      </c>
      <c r="AB71" s="389">
        <f>AC71-0.5</f>
        <v>6.5</v>
      </c>
      <c r="AC71" s="389">
        <f>AD71-0.5</f>
        <v>7</v>
      </c>
      <c r="AD71" s="390">
        <v>7.5</v>
      </c>
      <c r="AE71" s="389">
        <f>AD71+0.5</f>
        <v>8</v>
      </c>
      <c r="AF71" s="389">
        <f>AE71+0.5</f>
        <v>8.5</v>
      </c>
    </row>
    <row r="72" spans="2:32">
      <c r="B72" s="647" t="s">
        <v>340</v>
      </c>
      <c r="C72" s="351"/>
      <c r="D72" s="351"/>
      <c r="E72" s="351"/>
      <c r="F72" s="381">
        <v>0</v>
      </c>
      <c r="O72" s="268"/>
      <c r="S72" s="262"/>
      <c r="Z72" s="858"/>
      <c r="AA72" s="459">
        <f>AA73-0.01</f>
        <v>4.8000000000000001E-2</v>
      </c>
      <c r="AB72" s="498">
        <f t="dataTable" ref="AB72:AF76" dt2D="1" dtr="1" r1="AF12" r2="T75"/>
        <v>39.923875249957071</v>
      </c>
      <c r="AC72" s="498">
        <v>43.164222052766959</v>
      </c>
      <c r="AD72" s="498">
        <v>46.404568855576862</v>
      </c>
      <c r="AE72" s="498">
        <v>49.644915658386751</v>
      </c>
      <c r="AF72" s="498">
        <v>52.88526246119666</v>
      </c>
    </row>
    <row r="73" spans="2:32">
      <c r="B73" s="297"/>
      <c r="C73" s="297"/>
      <c r="D73" s="297"/>
      <c r="E73" s="297"/>
      <c r="F73" s="297"/>
      <c r="O73" s="268"/>
      <c r="S73" s="262"/>
      <c r="Z73" s="858"/>
      <c r="AA73" s="459">
        <f>AA74-0.01</f>
        <v>5.8000000000000003E-2</v>
      </c>
      <c r="AB73" s="498">
        <v>40.443386437812329</v>
      </c>
      <c r="AC73" s="461">
        <v>43.714652580343689</v>
      </c>
      <c r="AD73" s="461">
        <v>46.98591872287507</v>
      </c>
      <c r="AE73" s="461">
        <v>50.25718486540643</v>
      </c>
      <c r="AF73" s="498">
        <v>53.528451007937797</v>
      </c>
    </row>
    <row r="74" spans="2:32">
      <c r="B74" s="297"/>
      <c r="C74" s="297"/>
      <c r="D74" s="297"/>
      <c r="E74" s="297"/>
      <c r="F74" s="297"/>
      <c r="H74" s="38" t="s">
        <v>266</v>
      </c>
      <c r="O74" s="268"/>
      <c r="S74" s="262"/>
      <c r="Z74" s="858"/>
      <c r="AA74" s="460">
        <v>6.8000000000000005E-2</v>
      </c>
      <c r="AB74" s="498">
        <v>40.96289762566758</v>
      </c>
      <c r="AC74" s="461">
        <v>44.265083107920432</v>
      </c>
      <c r="AD74" s="462">
        <v>47.567268590173256</v>
      </c>
      <c r="AE74" s="461">
        <v>50.869454072426095</v>
      </c>
      <c r="AF74" s="498">
        <v>54.171639554678919</v>
      </c>
    </row>
    <row r="75" spans="2:32">
      <c r="B75" s="297"/>
      <c r="C75" s="297"/>
      <c r="D75" s="297"/>
      <c r="E75" s="297"/>
      <c r="F75" s="297"/>
      <c r="G75" s="298"/>
      <c r="H75" s="639" t="s">
        <v>247</v>
      </c>
      <c r="I75" s="640"/>
      <c r="J75" s="641" t="str">
        <f>J12</f>
        <v>NA</v>
      </c>
      <c r="K75" s="641">
        <f>K12</f>
        <v>-0.13405328444854886</v>
      </c>
      <c r="L75" s="641">
        <f>L12</f>
        <v>0.31857796030957614</v>
      </c>
      <c r="M75" s="641">
        <f>M12</f>
        <v>5.4186379901524875E-2</v>
      </c>
      <c r="N75" s="641">
        <f>N12</f>
        <v>7.4655846501241643E-2</v>
      </c>
      <c r="O75" s="638"/>
      <c r="P75" s="641" t="str">
        <f>P12</f>
        <v>NA</v>
      </c>
      <c r="Q75" s="641">
        <f>Q12</f>
        <v>6.2974272034868023E-2</v>
      </c>
      <c r="R75" s="641" t="str">
        <f>R12</f>
        <v>NA</v>
      </c>
      <c r="S75" s="642"/>
      <c r="T75" s="643">
        <f>'AS1'!F$9</f>
        <v>6.8000000000000005E-2</v>
      </c>
      <c r="U75" s="643">
        <f>'AS1'!G$9</f>
        <v>6.4000000000000001E-2</v>
      </c>
      <c r="V75" s="643">
        <f>'AS1'!H$9</f>
        <v>0.06</v>
      </c>
      <c r="W75" s="643">
        <f>'AS1'!I$9</f>
        <v>5.8000000000000003E-2</v>
      </c>
      <c r="X75" s="643">
        <f>'AS1'!J$9</f>
        <v>5.3999999999999999E-2</v>
      </c>
      <c r="Z75" s="858"/>
      <c r="AA75" s="459">
        <f>AA74+0.01</f>
        <v>7.8E-2</v>
      </c>
      <c r="AB75" s="498">
        <v>41.482408813522795</v>
      </c>
      <c r="AC75" s="461">
        <v>44.815513635497098</v>
      </c>
      <c r="AD75" s="461">
        <v>48.1486184574714</v>
      </c>
      <c r="AE75" s="461">
        <v>51.481723279445696</v>
      </c>
      <c r="AF75" s="498">
        <v>54.814828101420005</v>
      </c>
    </row>
    <row r="76" spans="2:32">
      <c r="B76" s="297"/>
      <c r="C76" s="297"/>
      <c r="D76" s="297"/>
      <c r="E76" s="297"/>
      <c r="F76" s="297"/>
      <c r="G76" s="298"/>
      <c r="H76" s="639" t="s">
        <v>267</v>
      </c>
      <c r="I76" s="640"/>
      <c r="J76" s="641">
        <f>J15/J11</f>
        <v>0.68878221211012935</v>
      </c>
      <c r="K76" s="641">
        <f>K15/K11</f>
        <v>0.75015399671106509</v>
      </c>
      <c r="L76" s="641">
        <f>L15/L11</f>
        <v>0.67157005102266265</v>
      </c>
      <c r="M76" s="641">
        <f>M15/M11</f>
        <v>0.70236843005277727</v>
      </c>
      <c r="N76" s="641">
        <f>N15/N11</f>
        <v>0.66712107360868522</v>
      </c>
      <c r="O76" s="638"/>
      <c r="P76" s="641">
        <f>P15/P11</f>
        <v>0.64531983945974547</v>
      </c>
      <c r="Q76" s="641">
        <f>Q15/Q11</f>
        <v>0.63482235627140926</v>
      </c>
      <c r="R76" s="641">
        <f>R15/R11</f>
        <v>0.66405358280355176</v>
      </c>
      <c r="S76" s="642"/>
      <c r="T76" s="643">
        <f>'AS1'!F$16</f>
        <v>0.67</v>
      </c>
      <c r="U76" s="643">
        <f>'AS1'!G$16</f>
        <v>0.66500000000000004</v>
      </c>
      <c r="V76" s="643">
        <f>'AS1'!H$16</f>
        <v>0.66</v>
      </c>
      <c r="W76" s="643">
        <f>'AS1'!I$16</f>
        <v>0.65500000000000003</v>
      </c>
      <c r="X76" s="643">
        <f>'AS1'!J$16</f>
        <v>0.65</v>
      </c>
      <c r="Z76" s="858"/>
      <c r="AA76" s="459">
        <f>AA75+0.01</f>
        <v>8.7999999999999995E-2</v>
      </c>
      <c r="AB76" s="498">
        <v>42.00192000137806</v>
      </c>
      <c r="AC76" s="498">
        <v>45.365944163073834</v>
      </c>
      <c r="AD76" s="498">
        <v>48.729968324769608</v>
      </c>
      <c r="AE76" s="498">
        <v>52.093992486465382</v>
      </c>
      <c r="AF76" s="498">
        <v>55.458016648161149</v>
      </c>
    </row>
    <row r="77" spans="2:32">
      <c r="B77" s="297"/>
      <c r="C77" s="297"/>
      <c r="D77" s="297"/>
      <c r="E77" s="297"/>
      <c r="F77" s="297"/>
      <c r="H77" s="639" t="s">
        <v>254</v>
      </c>
      <c r="I77" s="640"/>
      <c r="J77" s="641">
        <f>J19/J11</f>
        <v>0.22133049717241551</v>
      </c>
      <c r="K77" s="641">
        <f>K19/K11</f>
        <v>0.21861387596604853</v>
      </c>
      <c r="L77" s="641">
        <f>L19/L11</f>
        <v>0.21537987360519772</v>
      </c>
      <c r="M77" s="641">
        <f>M19/M11</f>
        <v>0.22902984707347529</v>
      </c>
      <c r="N77" s="641">
        <f>N19/N11</f>
        <v>0.2399885741719234</v>
      </c>
      <c r="O77" s="638"/>
      <c r="P77" s="641">
        <f>P19/P11</f>
        <v>0.24790855886866264</v>
      </c>
      <c r="Q77" s="641">
        <f>Q19/Q11</f>
        <v>0.249034588851236</v>
      </c>
      <c r="R77" s="641">
        <f>R19/R11</f>
        <v>0.24040365171941938</v>
      </c>
      <c r="S77" s="642"/>
      <c r="T77" s="643">
        <f>'AS1'!F$23</f>
        <v>0.22500000000000001</v>
      </c>
      <c r="U77" s="643">
        <f>'AS1'!G$23</f>
        <v>0.22500000000000001</v>
      </c>
      <c r="V77" s="643">
        <f>'AS1'!H$23</f>
        <v>0.22500000000000001</v>
      </c>
      <c r="W77" s="643">
        <f>'AS1'!I$23</f>
        <v>0.22500000000000001</v>
      </c>
      <c r="X77" s="643">
        <f>'AS1'!J$23</f>
        <v>0.22500000000000001</v>
      </c>
    </row>
    <row r="78" spans="2:32">
      <c r="B78" s="297"/>
      <c r="C78" s="297"/>
      <c r="D78" s="297"/>
      <c r="E78" s="297"/>
      <c r="F78" s="297"/>
      <c r="H78" s="644" t="s">
        <v>255</v>
      </c>
      <c r="I78" s="640"/>
      <c r="J78" s="641">
        <f>J22/J11</f>
        <v>2.8178199196794811E-2</v>
      </c>
      <c r="K78" s="641">
        <f>K22/K11</f>
        <v>3.0080739207403204E-2</v>
      </c>
      <c r="L78" s="641">
        <f>L22/L11</f>
        <v>2.3230931134464467E-2</v>
      </c>
      <c r="M78" s="641">
        <f>M22/M11</f>
        <v>2.1341771138236137E-2</v>
      </c>
      <c r="N78" s="641">
        <f>N22/N11</f>
        <v>1.9887887943054045E-2</v>
      </c>
      <c r="O78" s="638"/>
      <c r="P78" s="641">
        <f>P22/P11</f>
        <v>2.1710556099327649E-2</v>
      </c>
      <c r="Q78" s="641">
        <f>Q22/Q11</f>
        <v>2.1646210499649376E-2</v>
      </c>
      <c r="R78" s="641">
        <f>R22/R11</f>
        <v>1.9899241829925498E-2</v>
      </c>
      <c r="S78" s="642"/>
      <c r="T78" s="643">
        <f>'AS1'!F$30</f>
        <v>2.1999999999999999E-2</v>
      </c>
      <c r="U78" s="643">
        <f>'AS1'!G$30</f>
        <v>2.1999999999999999E-2</v>
      </c>
      <c r="V78" s="643">
        <f>'AS1'!H$30</f>
        <v>2.1999999999999999E-2</v>
      </c>
      <c r="W78" s="643">
        <f>'AS1'!I$30</f>
        <v>2.1999999999999999E-2</v>
      </c>
      <c r="X78" s="643">
        <f>'AS1'!J$30</f>
        <v>2.1999999999999999E-2</v>
      </c>
    </row>
    <row r="79" spans="2:32">
      <c r="B79" s="297"/>
      <c r="C79" s="297"/>
      <c r="D79" s="297"/>
      <c r="E79" s="297"/>
      <c r="F79" s="297"/>
      <c r="H79" s="639" t="s">
        <v>268</v>
      </c>
      <c r="I79" s="640"/>
      <c r="J79" s="641">
        <f>-J39/J11</f>
        <v>5.4579446853234445E-2</v>
      </c>
      <c r="K79" s="641">
        <f>-K39/K11</f>
        <v>4.6160459789973123E-2</v>
      </c>
      <c r="L79" s="641">
        <f>-L39/L11</f>
        <v>5.7692388018456886E-2</v>
      </c>
      <c r="M79" s="641">
        <f>-M39/M11</f>
        <v>4.1606433374401806E-2</v>
      </c>
      <c r="N79" s="641">
        <f>-N39/N11</f>
        <v>3.8737787530439605E-2</v>
      </c>
      <c r="O79" s="638"/>
      <c r="P79" s="641">
        <f>-P39/P11</f>
        <v>5.6604333213131082E-2</v>
      </c>
      <c r="Q79" s="641">
        <f>-Q39/Q11</f>
        <v>3.318855531609459E-2</v>
      </c>
      <c r="R79" s="641">
        <f>N79+Q79-P79</f>
        <v>1.5322009633403112E-2</v>
      </c>
      <c r="S79" s="642"/>
      <c r="T79" s="643">
        <f>'AS1'!F$45</f>
        <v>0.05</v>
      </c>
      <c r="U79" s="643">
        <f>'AS1'!G$45</f>
        <v>5.2499999999999998E-2</v>
      </c>
      <c r="V79" s="643">
        <f>'AS1'!H$45</f>
        <v>5.5E-2</v>
      </c>
      <c r="W79" s="643">
        <f>'AS1'!I$45</f>
        <v>5.7500000000000002E-2</v>
      </c>
      <c r="X79" s="643">
        <f>'AS1'!J$45</f>
        <v>5.7500000000000002E-2</v>
      </c>
    </row>
    <row r="80" spans="2:32">
      <c r="B80" s="297"/>
      <c r="C80" s="297"/>
      <c r="D80" s="297"/>
      <c r="E80" s="297"/>
      <c r="F80" s="297"/>
      <c r="H80" s="639" t="s">
        <v>271</v>
      </c>
      <c r="I80" s="640"/>
      <c r="J80" s="641">
        <f>ABS(J26/J11)</f>
        <v>0</v>
      </c>
      <c r="K80" s="641">
        <f>ABS(K26/K11)</f>
        <v>9.8702833162644596E-4</v>
      </c>
      <c r="L80" s="641">
        <f>ABS(L26/L11)</f>
        <v>2.4270334594262222E-4</v>
      </c>
      <c r="M80" s="641">
        <f>ABS(M26/M11)</f>
        <v>2.7423004960748607E-4</v>
      </c>
      <c r="N80" s="641">
        <f>ABS(N26/N11)</f>
        <v>1.4868324511370231E-3</v>
      </c>
      <c r="O80" s="638"/>
      <c r="P80" s="641">
        <f>ABS(P26/P11)</f>
        <v>0</v>
      </c>
      <c r="Q80" s="641">
        <f>ABS(Q26/Q11)</f>
        <v>0</v>
      </c>
      <c r="R80" s="641">
        <f>ABS(R26/R11)</f>
        <v>1.4639128851464619E-3</v>
      </c>
      <c r="S80" s="642"/>
      <c r="T80" s="643">
        <f>'AS1'!F$52</f>
        <v>5.0000000000000001E-4</v>
      </c>
      <c r="U80" s="643">
        <f>'AS1'!G$52</f>
        <v>5.0000000000000001E-4</v>
      </c>
      <c r="V80" s="643">
        <f>'AS1'!H$52</f>
        <v>5.0000000000000001E-4</v>
      </c>
      <c r="W80" s="643">
        <f>'AS1'!I$52</f>
        <v>5.0000000000000001E-4</v>
      </c>
      <c r="X80" s="643">
        <f>'AS1'!J$52</f>
        <v>5.0000000000000001E-4</v>
      </c>
    </row>
    <row r="81" spans="2:24">
      <c r="B81" s="297"/>
      <c r="C81" s="297"/>
      <c r="D81" s="297"/>
      <c r="E81" s="297"/>
      <c r="F81" s="297"/>
      <c r="H81" s="639" t="s">
        <v>269</v>
      </c>
      <c r="I81" s="640"/>
      <c r="J81" s="641">
        <f>J31</f>
        <v>0.29899999999999999</v>
      </c>
      <c r="K81" s="641">
        <f t="shared" ref="K81:R81" si="62">K31</f>
        <v>0.64800000000000002</v>
      </c>
      <c r="L81" s="641">
        <f t="shared" si="62"/>
        <v>0.23200000000000001</v>
      </c>
      <c r="M81" s="641">
        <f t="shared" si="62"/>
        <v>0.27800000000000002</v>
      </c>
      <c r="N81" s="641">
        <f t="shared" si="62"/>
        <v>0.246</v>
      </c>
      <c r="O81" s="638"/>
      <c r="P81" s="641">
        <f t="shared" si="62"/>
        <v>0.23</v>
      </c>
      <c r="Q81" s="641">
        <f t="shared" si="62"/>
        <v>0.23</v>
      </c>
      <c r="R81" s="641">
        <f t="shared" si="62"/>
        <v>0.23</v>
      </c>
      <c r="S81" s="642"/>
      <c r="T81" s="643">
        <f>'AS1'!F$37</f>
        <v>0.23</v>
      </c>
      <c r="U81" s="643">
        <f>'AS1'!G$37</f>
        <v>0.23</v>
      </c>
      <c r="V81" s="643">
        <f>'AS1'!H$37</f>
        <v>0.23</v>
      </c>
      <c r="W81" s="643">
        <f>'AS1'!I$37</f>
        <v>0.23</v>
      </c>
      <c r="X81" s="643">
        <f>'AS1'!J$37</f>
        <v>0.23</v>
      </c>
    </row>
    <row r="82" spans="2:24">
      <c r="B82" s="297"/>
      <c r="C82" s="297"/>
      <c r="D82" s="297"/>
      <c r="E82" s="297"/>
      <c r="F82" s="297"/>
      <c r="H82" s="639" t="s">
        <v>270</v>
      </c>
      <c r="I82" s="640"/>
      <c r="J82" s="643">
        <f>NWC!C23</f>
        <v>-4.6854891160149296E-3</v>
      </c>
      <c r="K82" s="643">
        <f>NWC!D23</f>
        <v>-7.3376352888282592E-2</v>
      </c>
      <c r="L82" s="643">
        <f>NWC!E23</f>
        <v>-3.115594283544779E-2</v>
      </c>
      <c r="M82" s="643">
        <f>NWC!F23</f>
        <v>-7.3600008675262403E-3</v>
      </c>
      <c r="N82" s="643">
        <f>NWC!G23</f>
        <v>-3.4302128933716806E-2</v>
      </c>
      <c r="O82" s="638"/>
      <c r="P82" s="643"/>
      <c r="Q82" s="643"/>
      <c r="R82" s="643">
        <f>NWC!H23</f>
        <v>-3.3773360606719476E-2</v>
      </c>
      <c r="S82" s="642"/>
      <c r="T82" s="643">
        <f>NWC!J23</f>
        <v>0.114</v>
      </c>
      <c r="U82" s="643">
        <f>NWC!K23</f>
        <v>0.114</v>
      </c>
      <c r="V82" s="643">
        <f>NWC!L23</f>
        <v>0.114</v>
      </c>
      <c r="W82" s="643">
        <f>NWC!M23</f>
        <v>0.114</v>
      </c>
      <c r="X82" s="643">
        <f>NWC!N23</f>
        <v>0.114</v>
      </c>
    </row>
    <row r="83" spans="2:24">
      <c r="B83" s="297"/>
      <c r="C83" s="297"/>
      <c r="D83" s="297"/>
      <c r="E83" s="297"/>
      <c r="F83" s="297"/>
      <c r="H83" s="298"/>
      <c r="I83" s="298"/>
      <c r="J83" s="298"/>
      <c r="K83" s="298"/>
      <c r="L83" s="298"/>
      <c r="M83" s="298"/>
      <c r="N83" s="298"/>
      <c r="O83" s="318"/>
      <c r="P83" s="318"/>
      <c r="Q83" s="318"/>
      <c r="R83" s="318"/>
      <c r="S83" s="318"/>
    </row>
    <row r="84" spans="2:24">
      <c r="B84" s="297"/>
      <c r="C84" s="297"/>
      <c r="D84" s="297"/>
      <c r="E84" s="297"/>
      <c r="F84" s="297"/>
      <c r="H84" s="298"/>
      <c r="I84" s="298"/>
      <c r="J84" s="298"/>
      <c r="K84" s="298"/>
      <c r="L84" s="298"/>
      <c r="M84" s="298"/>
      <c r="N84" s="298"/>
      <c r="O84" s="319"/>
      <c r="P84" s="319"/>
      <c r="Q84" s="319"/>
      <c r="R84" s="319"/>
      <c r="S84" s="319"/>
    </row>
    <row r="85" spans="2:24">
      <c r="B85" s="297"/>
      <c r="C85" s="297"/>
      <c r="D85" s="297"/>
      <c r="E85" s="297"/>
      <c r="F85" s="297"/>
      <c r="H85" s="84" t="s">
        <v>389</v>
      </c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2:24">
      <c r="B86" s="297"/>
      <c r="C86" s="297"/>
      <c r="D86" s="297"/>
      <c r="E86" s="297"/>
      <c r="F86" s="297"/>
      <c r="H86" s="320" t="s">
        <v>3628</v>
      </c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</row>
    <row r="87" spans="2:24">
      <c r="B87" s="297"/>
      <c r="C87" s="297"/>
      <c r="D87" s="297"/>
      <c r="E87" s="297"/>
      <c r="F87" s="297"/>
      <c r="H87" s="320" t="s">
        <v>3632</v>
      </c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</row>
    <row r="88" spans="2:24">
      <c r="B88" s="297"/>
      <c r="C88" s="297"/>
      <c r="D88" s="297"/>
      <c r="E88" s="297"/>
      <c r="F88" s="297"/>
      <c r="H88" s="320" t="s">
        <v>392</v>
      </c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</row>
    <row r="89" spans="2:24">
      <c r="B89" s="297"/>
      <c r="C89" s="297"/>
      <c r="D89" s="297"/>
      <c r="E89" s="297"/>
      <c r="F89" s="297"/>
      <c r="H89" s="320" t="s">
        <v>393</v>
      </c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</row>
    <row r="90" spans="2:24">
      <c r="B90" s="297"/>
      <c r="C90" s="297"/>
      <c r="D90" s="297"/>
      <c r="E90" s="297"/>
      <c r="F90" s="297"/>
      <c r="H90" s="320" t="s">
        <v>394</v>
      </c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</row>
    <row r="92" spans="2:24">
      <c r="J92" s="857" t="s">
        <v>259</v>
      </c>
      <c r="K92" s="857"/>
      <c r="L92" s="857"/>
      <c r="M92" s="857"/>
      <c r="N92" s="857"/>
      <c r="O92" s="268"/>
      <c r="P92" s="859" t="s">
        <v>519</v>
      </c>
      <c r="Q92" s="857"/>
      <c r="R92" s="857"/>
      <c r="S92" s="857"/>
      <c r="T92" s="857"/>
      <c r="U92" s="857"/>
    </row>
    <row r="93" spans="2:24">
      <c r="J93" s="230" t="str">
        <f>J8</f>
        <v>FY2021A</v>
      </c>
      <c r="K93" s="230" t="str">
        <f>K8</f>
        <v>FY2022A</v>
      </c>
      <c r="L93" s="230" t="str">
        <f>L8</f>
        <v>FY2023A</v>
      </c>
      <c r="M93" s="230" t="str">
        <f>M8</f>
        <v>FY2024A</v>
      </c>
      <c r="N93" s="230" t="str">
        <f>N8</f>
        <v>FY2025A</v>
      </c>
      <c r="O93" s="479" t="str">
        <f>R7</f>
        <v>LTM</v>
      </c>
      <c r="P93" s="480" t="str">
        <f>T8</f>
        <v>FY2026E</v>
      </c>
      <c r="Q93" s="230" t="str">
        <f>U8</f>
        <v>FY2027E</v>
      </c>
      <c r="R93" s="230" t="str">
        <f>V8</f>
        <v>FY2028E</v>
      </c>
      <c r="S93" s="230"/>
      <c r="T93" s="230" t="str">
        <f>W8</f>
        <v>FY2029E</v>
      </c>
      <c r="U93" s="230" t="str">
        <f>X8</f>
        <v>FY2030E</v>
      </c>
    </row>
    <row r="94" spans="2:24">
      <c r="H94" s="474" t="s">
        <v>503</v>
      </c>
      <c r="I94" s="469"/>
      <c r="J94" s="469"/>
      <c r="K94" s="469"/>
      <c r="L94" s="469"/>
      <c r="M94" s="469"/>
      <c r="N94" s="469"/>
      <c r="O94" s="470"/>
      <c r="P94" s="473"/>
      <c r="Q94" s="469"/>
      <c r="R94" s="469"/>
      <c r="S94" s="469"/>
      <c r="T94" s="469"/>
      <c r="U94" s="469"/>
    </row>
    <row r="95" spans="2:24">
      <c r="H95" s="19" t="s">
        <v>504</v>
      </c>
      <c r="J95" s="471">
        <f>J21</f>
        <v>8.9887290717455173E-2</v>
      </c>
      <c r="K95" s="471">
        <f>K21</f>
        <v>3.123212732288639E-2</v>
      </c>
      <c r="L95" s="471">
        <f>L21</f>
        <v>0.11305007537213964</v>
      </c>
      <c r="M95" s="471">
        <f>M21</f>
        <v>6.8601722873747412E-2</v>
      </c>
      <c r="N95" s="471">
        <f>N21</f>
        <v>9.2890352219391417E-2</v>
      </c>
      <c r="O95" s="472">
        <f>R21</f>
        <v>9.5542765477028876E-2</v>
      </c>
      <c r="P95" s="471">
        <f>T21</f>
        <v>0.10499999999999995</v>
      </c>
      <c r="Q95" s="471">
        <f>U21</f>
        <v>0.10999999999999999</v>
      </c>
      <c r="R95" s="471">
        <f>V21</f>
        <v>0.11499999999999995</v>
      </c>
      <c r="S95" s="471"/>
      <c r="T95" s="471">
        <f>W21</f>
        <v>0.11999999999999993</v>
      </c>
      <c r="U95" s="471">
        <f>X21</f>
        <v>0.12500000000000003</v>
      </c>
    </row>
    <row r="96" spans="2:24">
      <c r="H96" s="19" t="s">
        <v>505</v>
      </c>
      <c r="J96" s="471">
        <f>J24</f>
        <v>6.1709091520660356E-2</v>
      </c>
      <c r="K96" s="471">
        <f>K24</f>
        <v>1.1513881154831844E-3</v>
      </c>
      <c r="L96" s="471">
        <f>L24</f>
        <v>8.9819144237675161E-2</v>
      </c>
      <c r="M96" s="471">
        <f>M24</f>
        <v>4.7259951735511271E-2</v>
      </c>
      <c r="N96" s="471">
        <f>N24</f>
        <v>7.3002464276337373E-2</v>
      </c>
      <c r="O96" s="472">
        <f>R24</f>
        <v>7.5643523647103375E-2</v>
      </c>
      <c r="P96" s="471">
        <f>T24</f>
        <v>8.2999999999999949E-2</v>
      </c>
      <c r="Q96" s="471">
        <f>U24</f>
        <v>8.7999999999999981E-2</v>
      </c>
      <c r="R96" s="471">
        <f>V24</f>
        <v>9.2999999999999944E-2</v>
      </c>
      <c r="S96" s="471"/>
      <c r="T96" s="471">
        <f>W24</f>
        <v>9.7999999999999934E-2</v>
      </c>
      <c r="U96" s="471">
        <f>X24</f>
        <v>0.10300000000000002</v>
      </c>
    </row>
    <row r="97" spans="8:21">
      <c r="H97" s="19" t="s">
        <v>506</v>
      </c>
      <c r="J97" s="471">
        <f>J33</f>
        <v>4.2195005809795648E-2</v>
      </c>
      <c r="K97" s="471">
        <f>K33</f>
        <v>3.5828693623796978E-4</v>
      </c>
      <c r="L97" s="471">
        <f>L33</f>
        <v>6.828581748488545E-2</v>
      </c>
      <c r="M97" s="471">
        <f>M33</f>
        <v>3.3303623340126175E-2</v>
      </c>
      <c r="N97" s="471">
        <f>N33</f>
        <v>5.5823941340171233E-2</v>
      </c>
      <c r="O97" s="472">
        <f>R33</f>
        <v>5.9987970770654028E-2</v>
      </c>
      <c r="P97" s="471">
        <f>T33</f>
        <v>6.4294999999999949E-2</v>
      </c>
      <c r="Q97" s="471">
        <f>U33</f>
        <v>6.8144999999999997E-2</v>
      </c>
      <c r="R97" s="471">
        <f>V33</f>
        <v>7.1994999999999962E-2</v>
      </c>
      <c r="S97" s="471"/>
      <c r="T97" s="471">
        <f>W33</f>
        <v>7.584499999999994E-2</v>
      </c>
      <c r="U97" s="471">
        <f>X33</f>
        <v>7.9695000000000016E-2</v>
      </c>
    </row>
    <row r="98" spans="8:21">
      <c r="H98" s="19" t="s">
        <v>174</v>
      </c>
      <c r="J98" s="471">
        <f>J62/AVERAGE(BS!$D$58:$H$58)</f>
        <v>0.12021353875905441</v>
      </c>
      <c r="K98" s="471">
        <f>K62/AVERAGE(BS!$D$58:$H$58)</f>
        <v>3.7869959732846827E-2</v>
      </c>
      <c r="L98" s="471">
        <f>L62/AVERAGE(BS!$D$58:$H$58)</f>
        <v>0.15676895847812056</v>
      </c>
      <c r="M98" s="471">
        <f>M62/AVERAGE(BS!$D$58:$H$58)</f>
        <v>0.10052268290496129</v>
      </c>
      <c r="N98" s="471">
        <f>N62/AVERAGE(BS!$D$58:$H$58)</f>
        <v>0.15918906193731122</v>
      </c>
      <c r="O98" s="472">
        <f>R62/AVERAGE(BS!$D$58:$H$58)</f>
        <v>0.17138493446742492</v>
      </c>
      <c r="P98" s="471">
        <f>T20/BS!L58</f>
        <v>0.14277378008548278</v>
      </c>
      <c r="Q98" s="471">
        <f>U20/BS!M58</f>
        <v>0.14598077182840702</v>
      </c>
      <c r="R98" s="471">
        <f>V20/BS!N58</f>
        <v>0.14838475990285485</v>
      </c>
      <c r="T98" s="471">
        <f>W20/BS!O58</f>
        <v>0.15022617373727365</v>
      </c>
      <c r="U98" s="471">
        <f>X20/BS!P58</f>
        <v>0.15179948797493062</v>
      </c>
    </row>
    <row r="99" spans="8:21">
      <c r="H99" s="19" t="s">
        <v>175</v>
      </c>
      <c r="J99" s="471">
        <f>J67/AVERAGE(BS!$D$47:$H$47)</f>
        <v>0.1194977990781572</v>
      </c>
      <c r="K99" s="471">
        <f>K67/AVERAGE(BS!$D$47:$H$47)</f>
        <v>1.5595537389808282E-2</v>
      </c>
      <c r="L99" s="471">
        <f>L67/AVERAGE(BS!$D$47:$H$47)</f>
        <v>0.1809341359110013</v>
      </c>
      <c r="M99" s="471">
        <f>M67/AVERAGE(BS!$D$47:$H$47)</f>
        <v>9.7801877657078401E-2</v>
      </c>
      <c r="N99" s="471">
        <f>N67/AVERAGE(BS!$D$47:$H$47)</f>
        <v>0.18083722754679932</v>
      </c>
      <c r="O99" s="472">
        <f>R67/AVERAGE(BS!$D$47:$H$47)</f>
        <v>0.19369855642267952</v>
      </c>
      <c r="P99" s="471">
        <f>T32/BS!J47</f>
        <v>0.12959505458497658</v>
      </c>
      <c r="Q99" s="471">
        <f>U32/BS!K47</f>
        <v>0.1167034051292591</v>
      </c>
      <c r="R99" s="471">
        <f>V32/BS!L47</f>
        <v>0.10773968859681937</v>
      </c>
      <c r="T99" s="471">
        <f>W32/BS!M47</f>
        <v>0.10108669975688736</v>
      </c>
      <c r="U99" s="471">
        <f>X32/BS!N47</f>
        <v>9.6366409212122223E-2</v>
      </c>
    </row>
    <row r="100" spans="8:21">
      <c r="H100" s="19" t="s">
        <v>176</v>
      </c>
      <c r="J100" s="471">
        <f>J67/BS!D24</f>
        <v>6.187237188193024E-2</v>
      </c>
      <c r="K100" s="471">
        <f>K67/BS!E24</f>
        <v>1.0514487685241729E-2</v>
      </c>
      <c r="L100" s="471">
        <f>L67/BS!F24</f>
        <v>8.1927610424474467E-2</v>
      </c>
      <c r="M100" s="471">
        <f>M67/BS!G24</f>
        <v>4.558890519241296E-2</v>
      </c>
      <c r="N100" s="471">
        <f>N67/BS!H24</f>
        <v>7.5512977812609391E-2</v>
      </c>
      <c r="O100" s="472">
        <f>R67/BS!H24</f>
        <v>8.0883538151429429E-2</v>
      </c>
      <c r="P100" s="471">
        <f>T32/BS!J24</f>
        <v>7.736240713901131E-2</v>
      </c>
      <c r="Q100" s="471">
        <f>U32/BS!K24</f>
        <v>7.5043486478842666E-2</v>
      </c>
      <c r="R100" s="471">
        <f>V32/BS!L24</f>
        <v>7.3252842662292844E-2</v>
      </c>
      <c r="T100" s="471">
        <f>W32/BS!M24</f>
        <v>7.1812041366887749E-2</v>
      </c>
      <c r="U100" s="471">
        <f>X32/BS!N24</f>
        <v>7.0830693129131997E-2</v>
      </c>
    </row>
    <row r="101" spans="8:21">
      <c r="H101" s="474" t="s">
        <v>507</v>
      </c>
      <c r="I101" s="469"/>
      <c r="J101" s="469"/>
      <c r="K101" s="469"/>
      <c r="L101" s="469"/>
      <c r="M101" s="469"/>
      <c r="N101" s="469"/>
      <c r="O101" s="470"/>
      <c r="P101" s="469"/>
      <c r="Q101" s="469"/>
      <c r="R101" s="469"/>
      <c r="S101" s="469"/>
      <c r="T101" s="469"/>
      <c r="U101" s="469"/>
    </row>
    <row r="102" spans="8:21">
      <c r="H102" s="19" t="s">
        <v>508</v>
      </c>
      <c r="J102" s="19">
        <f>BS!D15/BS!D33</f>
        <v>1.6491006152449239</v>
      </c>
      <c r="K102" s="19">
        <f>BS!E15/BS!E33</f>
        <v>1.3500483373283363</v>
      </c>
      <c r="L102" s="19">
        <f>BS!F15/BS!F33</f>
        <v>1.3100176978887856</v>
      </c>
      <c r="M102" s="19">
        <f>BS!G15/BS!G33</f>
        <v>1.3901113464678887</v>
      </c>
      <c r="N102" s="19">
        <f>BS!H15/BS!H33</f>
        <v>1.2899784249727169</v>
      </c>
      <c r="O102" s="268">
        <f>BS!I15/BS!I33</f>
        <v>1.2899784249727169</v>
      </c>
      <c r="P102" s="19">
        <f>BS!J15/BS!J33</f>
        <v>1.7713728255077177</v>
      </c>
      <c r="Q102" s="19">
        <f>BS!K15/BS!K33</f>
        <v>2.144471624674845</v>
      </c>
      <c r="R102" s="19">
        <f>BS!L15/BS!L33</f>
        <v>2.4813539834131175</v>
      </c>
      <c r="T102" s="19">
        <f>BS!M15/BS!M33</f>
        <v>2.7942837362657813</v>
      </c>
      <c r="U102" s="19">
        <f>BS!N15/BS!N33</f>
        <v>3.073600957407975</v>
      </c>
    </row>
    <row r="103" spans="8:21">
      <c r="H103" s="19" t="s">
        <v>509</v>
      </c>
      <c r="J103" s="19">
        <f>(BS!D15-BS!D13)/BS!D33</f>
        <v>1.0079715703617891</v>
      </c>
      <c r="K103" s="19">
        <f>(BS!E15-BS!E13)/BS!E33</f>
        <v>0.92006904071371498</v>
      </c>
      <c r="L103" s="19">
        <f>(BS!F15-BS!F13)/BS!F33</f>
        <v>0.72956464416239675</v>
      </c>
      <c r="M103" s="19">
        <f>(BS!G15-BS!G13)/BS!G33</f>
        <v>0.73026503469328619</v>
      </c>
      <c r="N103" s="19">
        <f>(BS!H15-BS!H13)/BS!H33</f>
        <v>0.73652918663655886</v>
      </c>
      <c r="O103" s="268">
        <f>(BS!I15-BS!I13)/BS!I33</f>
        <v>0.73652918663655886</v>
      </c>
      <c r="P103" s="19">
        <f>(BS!J15-BS!J13)/BS!J33</f>
        <v>0.94383159037154574</v>
      </c>
      <c r="Q103" s="19">
        <f>(BS!K15-BS!K13)/BS!K33</f>
        <v>1.3231060703978983</v>
      </c>
      <c r="R103" s="19">
        <f>(BS!L15-BS!L13)/BS!L33</f>
        <v>1.6661641099953959</v>
      </c>
      <c r="T103" s="19">
        <f>(BS!M15-BS!M13)/BS!M33</f>
        <v>1.9852695437072847</v>
      </c>
      <c r="U103" s="19">
        <f>(BS!N15-BS!N13)/BS!N33</f>
        <v>2.2707624457087037</v>
      </c>
    </row>
    <row r="104" spans="8:21">
      <c r="H104" s="19" t="s">
        <v>510</v>
      </c>
      <c r="J104" s="19">
        <f>SUM(BS!D10:D11)/BS!D33</f>
        <v>0.67832240086416085</v>
      </c>
      <c r="K104" s="19">
        <f>SUM(BS!E10:E11)/BS!E33</f>
        <v>0.62940057298495145</v>
      </c>
      <c r="L104" s="19">
        <f>SUM(BS!F10:F11)/BS!F33</f>
        <v>0.45441392682223558</v>
      </c>
      <c r="M104" s="19">
        <f>SUM(BS!G10:G11)/BS!G33</f>
        <v>0.42974974561251789</v>
      </c>
      <c r="N104" s="19">
        <f>SUM(BS!H10:H11)/BS!H33</f>
        <v>0.46777576053228459</v>
      </c>
      <c r="O104" s="268">
        <f>SUM(BS!I10:I11)/BS!I33</f>
        <v>0.46777576053228459</v>
      </c>
      <c r="P104" s="19">
        <f>SUM(BS!J10:J11)/BS!J33</f>
        <v>0.61607938477123891</v>
      </c>
      <c r="Q104" s="19">
        <f>SUM(BS!K10:K11)/BS!K33</f>
        <v>0.99535386479759125</v>
      </c>
      <c r="R104" s="19">
        <f>SUM(BS!L10:L11)/BS!L33</f>
        <v>1.3384119043950886</v>
      </c>
      <c r="T104" s="19">
        <f>SUM(BS!M10:M11)/BS!M33</f>
        <v>1.6575173381069779</v>
      </c>
      <c r="U104" s="19">
        <f>SUM(BS!N10:N11)/BS!N33</f>
        <v>1.9430102401083966</v>
      </c>
    </row>
    <row r="105" spans="8:21">
      <c r="H105" s="474" t="s">
        <v>511</v>
      </c>
      <c r="I105" s="469"/>
      <c r="J105" s="469"/>
      <c r="K105" s="469"/>
      <c r="L105" s="469"/>
      <c r="M105" s="469"/>
      <c r="N105" s="469"/>
      <c r="O105" s="470"/>
      <c r="P105" s="469"/>
      <c r="Q105" s="469"/>
      <c r="R105" s="469"/>
      <c r="S105" s="469"/>
      <c r="T105" s="469"/>
      <c r="U105" s="469"/>
    </row>
    <row r="106" spans="8:21">
      <c r="H106" s="19" t="s">
        <v>512</v>
      </c>
      <c r="J106" s="19">
        <f>BS!D37/BS!D24</f>
        <v>0.36840868696867235</v>
      </c>
      <c r="K106" s="19">
        <f>BS!E37/BS!E24</f>
        <v>0.45667793122271816</v>
      </c>
      <c r="L106" s="19">
        <f>BS!F37/BS!F24</f>
        <v>0.28067438828469143</v>
      </c>
      <c r="M106" s="19">
        <f>BS!G37/BS!G24</f>
        <v>0.27148490107827716</v>
      </c>
      <c r="N106" s="19">
        <f>BS!H37/BS!H24</f>
        <v>0.24432326354607611</v>
      </c>
      <c r="O106" s="268">
        <f>BS!I37/BS!I24</f>
        <v>0.24432326354607611</v>
      </c>
      <c r="P106" s="19">
        <f>BS!J37/BS!J24</f>
        <v>0.21621657473467887</v>
      </c>
      <c r="Q106" s="19">
        <f>BS!K37/BS!K24</f>
        <v>0.18598314541940542</v>
      </c>
      <c r="R106" s="19">
        <f>BS!L37/BS!L24</f>
        <v>0.16211039451481715</v>
      </c>
      <c r="T106" s="19">
        <f>BS!M37/BS!M24</f>
        <v>0.14258484409489613</v>
      </c>
      <c r="U106" s="19">
        <f>BS!N37/BS!N24</f>
        <v>0.12698512600371226</v>
      </c>
    </row>
    <row r="107" spans="8:21">
      <c r="H107" s="19" t="s">
        <v>513</v>
      </c>
      <c r="J107" s="19">
        <f>BS!D37/BS!D47</f>
        <v>0.83931961617612194</v>
      </c>
      <c r="K107" s="19">
        <f>BS!E37/BS!E47</f>
        <v>0.78711315468668241</v>
      </c>
      <c r="L107" s="19">
        <f>BS!F37/BS!F47</f>
        <v>0.60956041564035879</v>
      </c>
      <c r="M107" s="19">
        <f>BS!G37/BS!G47</f>
        <v>0.55774502224051892</v>
      </c>
      <c r="N107" s="19">
        <f>BS!H37/BS!H47</f>
        <v>0.47547691404659792</v>
      </c>
      <c r="O107" s="268">
        <f>BS!I37/BS!I47</f>
        <v>0.47547691404659792</v>
      </c>
      <c r="P107" s="19">
        <f>BS!J37/BS!J47</f>
        <v>0.36219915901230426</v>
      </c>
      <c r="Q107" s="19">
        <f>BS!K37/BS!K47</f>
        <v>0.28923051667134531</v>
      </c>
      <c r="R107" s="19">
        <f>BS!L37/BS!L47</f>
        <v>0.23843065727638274</v>
      </c>
      <c r="T107" s="19">
        <f>BS!M37/BS!M47</f>
        <v>0.20071050830131862</v>
      </c>
      <c r="U107" s="19">
        <f>BS!N37/BS!N47</f>
        <v>0.17276550709474325</v>
      </c>
    </row>
    <row r="108" spans="8:21">
      <c r="H108" s="19" t="s">
        <v>496</v>
      </c>
      <c r="J108" s="19">
        <f>BS!D39/BS!D47</f>
        <v>1.278229710276874</v>
      </c>
      <c r="K108" s="19">
        <f>BS!E39/BS!E47</f>
        <v>1.4004556755362749</v>
      </c>
      <c r="L108" s="19">
        <f>BS!F39/BS!F47</f>
        <v>1.1717707104150676</v>
      </c>
      <c r="M108" s="19">
        <f>BS!G39/BS!G47</f>
        <v>1.0544187063570956</v>
      </c>
      <c r="N108" s="19">
        <f>BS!H39/BS!H47</f>
        <v>0.94609758868471128</v>
      </c>
      <c r="O108" s="268">
        <f>BS!I39/BS!I47</f>
        <v>0.94609758868471128</v>
      </c>
      <c r="P108" s="19">
        <f>BS!J39/BS!J47</f>
        <v>0.67516833275507115</v>
      </c>
      <c r="Q108" s="19">
        <f>BS!K39/BS!K47</f>
        <v>0.55514369874275205</v>
      </c>
      <c r="R108" s="19">
        <f>BS!L39/BS!L47</f>
        <v>0.47079191306631368</v>
      </c>
      <c r="T108" s="19">
        <f>BS!M39/BS!M47</f>
        <v>0.40765668031124996</v>
      </c>
      <c r="U108" s="19">
        <f>BS!N39/BS!N47</f>
        <v>0.36051766479873132</v>
      </c>
    </row>
    <row r="109" spans="8:21">
      <c r="H109" s="474" t="s">
        <v>514</v>
      </c>
      <c r="I109" s="469"/>
      <c r="J109" s="469"/>
      <c r="K109" s="469"/>
      <c r="L109" s="469"/>
      <c r="M109" s="469"/>
      <c r="N109" s="469"/>
      <c r="O109" s="470"/>
      <c r="P109" s="469"/>
      <c r="Q109" s="469"/>
      <c r="R109" s="469"/>
      <c r="S109" s="469"/>
      <c r="T109" s="469"/>
      <c r="U109" s="469"/>
    </row>
    <row r="110" spans="8:21">
      <c r="H110" s="19" t="s">
        <v>167</v>
      </c>
      <c r="J110" s="476">
        <f>J35</f>
        <v>1.6711224862814331</v>
      </c>
      <c r="K110" s="476">
        <f>K35</f>
        <v>1.2545322515070017E-2</v>
      </c>
      <c r="L110" s="476">
        <f>L35</f>
        <v>3.1290425315813275</v>
      </c>
      <c r="M110" s="476">
        <f>M35</f>
        <v>1.6963257863252172</v>
      </c>
      <c r="N110" s="476">
        <f>N35</f>
        <v>3.0497270767038578</v>
      </c>
      <c r="O110" s="268">
        <f>R35</f>
        <v>3.2672478709033008</v>
      </c>
      <c r="P110" s="476">
        <f>T35</f>
        <v>3.8291710426041057</v>
      </c>
      <c r="Q110" s="476">
        <f>U35</f>
        <v>4.3182043359972848</v>
      </c>
      <c r="R110" s="476">
        <f>V35</f>
        <v>4.8359009236236243</v>
      </c>
      <c r="S110" s="476"/>
      <c r="T110" s="476">
        <f>W35</f>
        <v>5.3899865556533548</v>
      </c>
      <c r="U110" s="476">
        <f>X35</f>
        <v>5.9694237905550196</v>
      </c>
    </row>
    <row r="111" spans="8:21">
      <c r="H111" s="19" t="s">
        <v>520</v>
      </c>
      <c r="J111" s="475" t="s">
        <v>23</v>
      </c>
      <c r="K111" s="475" t="s">
        <v>23</v>
      </c>
      <c r="L111" s="475" t="s">
        <v>23</v>
      </c>
      <c r="M111" s="475" t="s">
        <v>23</v>
      </c>
      <c r="N111" s="475" t="s">
        <v>23</v>
      </c>
      <c r="O111" s="266" t="s">
        <v>23</v>
      </c>
      <c r="P111" s="475" t="s">
        <v>23</v>
      </c>
      <c r="Q111" s="475" t="s">
        <v>23</v>
      </c>
      <c r="R111" s="475" t="s">
        <v>23</v>
      </c>
      <c r="S111" s="475"/>
      <c r="T111" s="475" t="s">
        <v>23</v>
      </c>
      <c r="U111" s="475" t="s">
        <v>23</v>
      </c>
    </row>
    <row r="112" spans="8:21">
      <c r="H112" s="474" t="s">
        <v>515</v>
      </c>
      <c r="I112" s="469"/>
      <c r="J112" s="469"/>
      <c r="K112" s="469"/>
      <c r="L112" s="469"/>
      <c r="M112" s="469"/>
      <c r="N112" s="469"/>
      <c r="O112" s="470"/>
      <c r="P112" s="469"/>
      <c r="Q112" s="469"/>
      <c r="R112" s="469"/>
      <c r="S112" s="469"/>
      <c r="T112" s="469"/>
      <c r="U112" s="469"/>
    </row>
    <row r="113" spans="8:21">
      <c r="H113" s="19" t="s">
        <v>516</v>
      </c>
      <c r="J113" s="468">
        <f>$F$34/J11</f>
        <v>1.5459952442260372</v>
      </c>
      <c r="K113" s="468">
        <f>$F$34/K11</f>
        <v>1.7853237577574486</v>
      </c>
      <c r="L113" s="468">
        <f>$F$34/L11</f>
        <v>1.3539766411219929</v>
      </c>
      <c r="M113" s="468">
        <f>$F$34/M11</f>
        <v>1.2843807005441226</v>
      </c>
      <c r="N113" s="468">
        <f>$F$34/N11</f>
        <v>1.1951553650647158</v>
      </c>
      <c r="O113" s="477">
        <f>$F$34/R11</f>
        <v>1.1767320099397813</v>
      </c>
      <c r="P113" s="468">
        <f>$F$34/T11</f>
        <v>1.1018089980709562</v>
      </c>
      <c r="Q113" s="468">
        <f>$F$34/U11</f>
        <v>1.035534772623079</v>
      </c>
      <c r="R113" s="468">
        <f>$F$34/V11</f>
        <v>0.97691959681422535</v>
      </c>
      <c r="S113" s="468"/>
      <c r="T113" s="468">
        <f>$F$34/W11</f>
        <v>0.92336445823650792</v>
      </c>
      <c r="U113" s="468">
        <f>$F$34/X11</f>
        <v>0.87605736075570007</v>
      </c>
    </row>
    <row r="114" spans="8:21">
      <c r="H114" s="19" t="s">
        <v>517</v>
      </c>
      <c r="J114" s="468">
        <f>$F$34/J20</f>
        <v>17.199264010366051</v>
      </c>
      <c r="K114" s="468">
        <f>$F$34/K20</f>
        <v>57.163053265641388</v>
      </c>
      <c r="L114" s="468">
        <f>$F$34/L20</f>
        <v>11.97678671743434</v>
      </c>
      <c r="M114" s="468">
        <f>$F$34/M20</f>
        <v>18.722280530881989</v>
      </c>
      <c r="N114" s="468">
        <f>$F$34/N20</f>
        <v>12.866302436252575</v>
      </c>
      <c r="O114" s="478">
        <f>$F$34/R20</f>
        <v>12.316285843983659</v>
      </c>
      <c r="P114" s="468">
        <f>$F$34/T20</f>
        <v>10.493419029247207</v>
      </c>
      <c r="Q114" s="468">
        <f>$F$34/U20</f>
        <v>9.4139524783916286</v>
      </c>
      <c r="R114" s="468">
        <f>$F$34/V20</f>
        <v>8.4949530157758772</v>
      </c>
      <c r="S114" s="468"/>
      <c r="T114" s="468">
        <f>$F$34/W20</f>
        <v>7.6947038186375707</v>
      </c>
      <c r="U114" s="468">
        <f>$F$34/X20</f>
        <v>7.0084588860455996</v>
      </c>
    </row>
    <row r="115" spans="8:21">
      <c r="H115" s="19" t="s">
        <v>518</v>
      </c>
      <c r="J115" s="468">
        <f>$F$34/J23</f>
        <v>25.052957451309005</v>
      </c>
      <c r="K115" s="468">
        <f>$F$34/K23</f>
        <v>1550.583798590131</v>
      </c>
      <c r="L115" s="468">
        <f>$F$34/L23</f>
        <v>15.074477190955685</v>
      </c>
      <c r="M115" s="468">
        <f>$F$34/M23</f>
        <v>27.176936356856984</v>
      </c>
      <c r="N115" s="468">
        <f>$F$34/N23</f>
        <v>16.371438648162275</v>
      </c>
      <c r="O115" s="478">
        <f>$F$34/R23</f>
        <v>15.556282325365233</v>
      </c>
      <c r="P115" s="468">
        <f>$F$34/T23</f>
        <v>13.274807205674179</v>
      </c>
      <c r="Q115" s="468">
        <f>$F$34/U23</f>
        <v>11.767440597989536</v>
      </c>
      <c r="R115" s="468">
        <f>$F$34/V23</f>
        <v>10.504511793701354</v>
      </c>
      <c r="S115" s="468"/>
      <c r="T115" s="468">
        <f>$F$34/W23</f>
        <v>9.4220863085358015</v>
      </c>
      <c r="U115" s="468">
        <f>$F$34/X23</f>
        <v>8.5054112694728143</v>
      </c>
    </row>
    <row r="116" spans="8:21">
      <c r="H116" s="19" t="s">
        <v>321</v>
      </c>
      <c r="J116" s="468">
        <f>$F$21/J110</f>
        <v>29.489160970873787</v>
      </c>
      <c r="K116" s="468">
        <f t="shared" ref="K116:N116" si="63">$F$21/K110</f>
        <v>3928.1572825889971</v>
      </c>
      <c r="L116" s="468">
        <f t="shared" si="63"/>
        <v>15.749226641254799</v>
      </c>
      <c r="M116" s="468">
        <f t="shared" si="63"/>
        <v>29.051023333646423</v>
      </c>
      <c r="N116" s="468">
        <f t="shared" si="63"/>
        <v>16.158822989912192</v>
      </c>
      <c r="O116" s="478">
        <f>$F$21/O110</f>
        <v>15.083030717952687</v>
      </c>
      <c r="P116" s="468">
        <f>$F$21/P110</f>
        <v>12.869626206743206</v>
      </c>
      <c r="Q116" s="468">
        <f>$F$21/Q110</f>
        <v>11.412151015919639</v>
      </c>
      <c r="R116" s="468">
        <f>$F$21/R110</f>
        <v>10.190448642002707</v>
      </c>
      <c r="S116" s="468"/>
      <c r="T116" s="468">
        <f>$F$21/T110</f>
        <v>9.1428799480607346</v>
      </c>
      <c r="U116" s="468">
        <f>$F$21/T110</f>
        <v>9.1428799480607346</v>
      </c>
    </row>
  </sheetData>
  <mergeCells count="18">
    <mergeCell ref="AA51:AF51"/>
    <mergeCell ref="Z53:Z58"/>
    <mergeCell ref="AB52:AF52"/>
    <mergeCell ref="J92:N92"/>
    <mergeCell ref="Z62:Z67"/>
    <mergeCell ref="Z71:Z76"/>
    <mergeCell ref="AB70:AF70"/>
    <mergeCell ref="AB61:AF61"/>
    <mergeCell ref="AA60:AF60"/>
    <mergeCell ref="AA69:AF69"/>
    <mergeCell ref="P92:U92"/>
    <mergeCell ref="J7:N7"/>
    <mergeCell ref="T7:X7"/>
    <mergeCell ref="J48:N48"/>
    <mergeCell ref="AC7:AF7"/>
    <mergeCell ref="AC45:AF45"/>
    <mergeCell ref="AC38:AF38"/>
    <mergeCell ref="AC24:AF24"/>
  </mergeCells>
  <dataValidations count="2">
    <dataValidation type="list" allowBlank="1" showInputMessage="1" showErrorMessage="1" sqref="C4" xr:uid="{020D004A-E98D-A44C-876C-63C14F37C2F1}">
      <formula1>"1,2,3,4,5"</formula1>
    </dataValidation>
    <dataValidation type="list" allowBlank="1" showInputMessage="1" showErrorMessage="1" sqref="C5" xr:uid="{619D8A03-0401-E043-AD01-D735BCDC6080}">
      <formula1>"Yes, No"</formula1>
    </dataValidation>
  </dataValidations>
  <pageMargins left="0.7" right="0.7" top="0.75" bottom="0.75" header="0.3" footer="0.3"/>
  <pageSetup paperSize="9" orientation="portrait" horizontalDpi="0" verticalDpi="0"/>
  <ignoredErrors>
    <ignoredError sqref="O16 O20 O23 O32 O51 O57 O62 O67 C40:F41 C42:F43 O29" formula="1"/>
    <ignoredError sqref="J104:N10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6512-2DD9-E445-A7B0-7BDD3AB6F8E1}">
  <sheetPr codeName="Sheet8"/>
  <dimension ref="B3:F29"/>
  <sheetViews>
    <sheetView showGridLines="0" zoomScale="134" workbookViewId="0">
      <selection activeCell="C34" sqref="C34"/>
    </sheetView>
  </sheetViews>
  <sheetFormatPr baseColWidth="10" defaultRowHeight="16"/>
  <cols>
    <col min="4" max="4" width="13.1640625" bestFit="1" customWidth="1"/>
  </cols>
  <sheetData>
    <row r="3" spans="2:6">
      <c r="B3" s="116" t="s">
        <v>343</v>
      </c>
      <c r="C3" s="116"/>
      <c r="D3" s="116"/>
      <c r="E3" s="116"/>
      <c r="F3" s="116"/>
    </row>
    <row r="4" spans="2:6">
      <c r="B4" s="141" t="s">
        <v>344</v>
      </c>
      <c r="C4" s="141"/>
      <c r="D4" s="141"/>
      <c r="E4" s="141"/>
      <c r="F4" s="117"/>
    </row>
    <row r="5" spans="2:6">
      <c r="B5" s="141" t="s">
        <v>345</v>
      </c>
      <c r="C5" s="141"/>
      <c r="D5" s="141"/>
      <c r="E5" s="141"/>
      <c r="F5" s="149">
        <f>E19</f>
        <v>0</v>
      </c>
    </row>
    <row r="6" spans="2:6">
      <c r="B6" s="141" t="s">
        <v>346</v>
      </c>
      <c r="C6" s="141"/>
      <c r="D6" s="141"/>
      <c r="E6" s="141"/>
      <c r="F6" s="150"/>
    </row>
    <row r="7" spans="2:6">
      <c r="B7" s="135" t="s">
        <v>347</v>
      </c>
      <c r="C7" s="135"/>
      <c r="D7" s="135"/>
      <c r="E7" s="135"/>
      <c r="F7" s="138">
        <f>F4+F5-F6</f>
        <v>0</v>
      </c>
    </row>
    <row r="8" spans="2:6">
      <c r="B8" s="141" t="s">
        <v>348</v>
      </c>
      <c r="C8" s="141"/>
      <c r="D8" s="141"/>
      <c r="E8" s="141"/>
      <c r="F8" s="148" t="s">
        <v>349</v>
      </c>
    </row>
    <row r="9" spans="2:6">
      <c r="B9" s="135" t="s">
        <v>350</v>
      </c>
      <c r="C9" s="135"/>
      <c r="D9" s="135"/>
      <c r="E9" s="141"/>
      <c r="F9" s="680" t="e">
        <f>F7+F8</f>
        <v>#VALUE!</v>
      </c>
    </row>
    <row r="10" spans="2:6">
      <c r="B10" s="141"/>
      <c r="C10" s="141"/>
      <c r="D10" s="141"/>
      <c r="E10" s="141"/>
      <c r="F10" s="141"/>
    </row>
    <row r="11" spans="2:6">
      <c r="B11" s="144" t="s">
        <v>351</v>
      </c>
      <c r="C11" s="144"/>
      <c r="D11" s="144"/>
      <c r="E11" s="144"/>
      <c r="F11" s="144"/>
    </row>
    <row r="12" spans="2:6">
      <c r="B12" s="145"/>
      <c r="C12" s="145" t="s">
        <v>352</v>
      </c>
      <c r="D12" s="145" t="s">
        <v>353</v>
      </c>
      <c r="E12" s="145" t="s">
        <v>354</v>
      </c>
      <c r="F12" s="145"/>
    </row>
    <row r="13" spans="2:6">
      <c r="B13" s="146" t="s">
        <v>355</v>
      </c>
      <c r="C13" s="146" t="s">
        <v>356</v>
      </c>
      <c r="D13" s="146" t="s">
        <v>357</v>
      </c>
      <c r="E13" s="146" t="s">
        <v>356</v>
      </c>
      <c r="F13" s="146" t="s">
        <v>358</v>
      </c>
    </row>
    <row r="14" spans="2:6">
      <c r="B14" s="141" t="s">
        <v>359</v>
      </c>
      <c r="C14" s="117"/>
      <c r="D14" s="658"/>
      <c r="E14" s="149"/>
      <c r="F14" s="636"/>
    </row>
    <row r="15" spans="2:6">
      <c r="B15" s="141" t="s">
        <v>360</v>
      </c>
      <c r="C15" s="117"/>
      <c r="D15" s="119"/>
      <c r="E15" s="149"/>
      <c r="F15" s="139"/>
    </row>
    <row r="16" spans="2:6">
      <c r="B16" s="141" t="s">
        <v>361</v>
      </c>
      <c r="C16" s="117"/>
      <c r="D16" s="119"/>
      <c r="E16" s="149"/>
      <c r="F16" s="139"/>
    </row>
    <row r="17" spans="2:6">
      <c r="B17" s="141" t="s">
        <v>362</v>
      </c>
      <c r="C17" s="117"/>
      <c r="D17" s="119"/>
      <c r="E17" s="149" t="s">
        <v>349</v>
      </c>
      <c r="F17" s="139" t="s">
        <v>349</v>
      </c>
    </row>
    <row r="18" spans="2:6">
      <c r="B18" s="141" t="s">
        <v>363</v>
      </c>
      <c r="C18" s="120"/>
      <c r="D18" s="121"/>
      <c r="E18" s="148" t="s">
        <v>349</v>
      </c>
      <c r="F18" s="140" t="s">
        <v>349</v>
      </c>
    </row>
    <row r="19" spans="2:6">
      <c r="B19" s="135" t="s">
        <v>364</v>
      </c>
      <c r="C19" s="138">
        <f>SUM(C14:C18)</f>
        <v>0</v>
      </c>
      <c r="D19" s="142" t="e">
        <f>AVERAGE(D14:D18)</f>
        <v>#DIV/0!</v>
      </c>
      <c r="E19" s="138"/>
      <c r="F19" s="143"/>
    </row>
    <row r="20" spans="2:6">
      <c r="B20" s="141"/>
      <c r="C20" s="141"/>
      <c r="D20" s="141"/>
      <c r="E20" s="141"/>
      <c r="F20" s="141"/>
    </row>
    <row r="21" spans="2:6">
      <c r="B21" s="144" t="s">
        <v>365</v>
      </c>
      <c r="C21" s="144"/>
      <c r="D21" s="144"/>
      <c r="E21" s="144"/>
      <c r="F21" s="144"/>
    </row>
    <row r="22" spans="2:6">
      <c r="B22" s="141"/>
      <c r="C22" s="145"/>
      <c r="D22" s="145" t="s">
        <v>366</v>
      </c>
      <c r="E22" s="145" t="s">
        <v>367</v>
      </c>
      <c r="F22" s="145" t="s">
        <v>368</v>
      </c>
    </row>
    <row r="23" spans="2:6">
      <c r="B23" s="141"/>
      <c r="C23" s="146" t="s">
        <v>369</v>
      </c>
      <c r="D23" s="147" t="s">
        <v>357</v>
      </c>
      <c r="E23" s="147" t="s">
        <v>370</v>
      </c>
      <c r="F23" s="147" t="s">
        <v>356</v>
      </c>
    </row>
    <row r="24" spans="2:6">
      <c r="B24" s="141" t="s">
        <v>371</v>
      </c>
      <c r="C24" s="122" t="s">
        <v>349</v>
      </c>
      <c r="D24" s="118" t="s">
        <v>349</v>
      </c>
      <c r="E24" s="139" t="s">
        <v>349</v>
      </c>
      <c r="F24" s="139" t="s">
        <v>349</v>
      </c>
    </row>
    <row r="25" spans="2:6">
      <c r="B25" s="141" t="s">
        <v>372</v>
      </c>
      <c r="C25" s="123" t="s">
        <v>349</v>
      </c>
      <c r="D25" s="119" t="s">
        <v>349</v>
      </c>
      <c r="E25" s="139" t="s">
        <v>349</v>
      </c>
      <c r="F25" s="139" t="s">
        <v>349</v>
      </c>
    </row>
    <row r="26" spans="2:6">
      <c r="B26" s="141" t="s">
        <v>373</v>
      </c>
      <c r="C26" s="123" t="s">
        <v>349</v>
      </c>
      <c r="D26" s="119" t="s">
        <v>349</v>
      </c>
      <c r="E26" s="139" t="s">
        <v>349</v>
      </c>
      <c r="F26" s="139" t="s">
        <v>349</v>
      </c>
    </row>
    <row r="27" spans="2:6">
      <c r="B27" s="141" t="s">
        <v>374</v>
      </c>
      <c r="C27" s="123" t="s">
        <v>349</v>
      </c>
      <c r="D27" s="119" t="s">
        <v>349</v>
      </c>
      <c r="E27" s="139" t="s">
        <v>349</v>
      </c>
      <c r="F27" s="139" t="s">
        <v>349</v>
      </c>
    </row>
    <row r="28" spans="2:6">
      <c r="B28" s="141" t="s">
        <v>375</v>
      </c>
      <c r="C28" s="124" t="s">
        <v>349</v>
      </c>
      <c r="D28" s="121" t="s">
        <v>349</v>
      </c>
      <c r="E28" s="140" t="s">
        <v>349</v>
      </c>
      <c r="F28" s="140" t="s">
        <v>349</v>
      </c>
    </row>
    <row r="29" spans="2:6">
      <c r="B29" s="135" t="s">
        <v>364</v>
      </c>
      <c r="C29" s="136"/>
      <c r="D29" s="137"/>
      <c r="E29" s="136"/>
      <c r="F29" s="138" t="s">
        <v>349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AB22-1714-8E46-B536-65D159DC679B}">
  <sheetPr codeName="Sheet14"/>
  <dimension ref="B2:C27"/>
  <sheetViews>
    <sheetView showGridLines="0" workbookViewId="0">
      <selection activeCell="E26" sqref="E26"/>
    </sheetView>
  </sheetViews>
  <sheetFormatPr baseColWidth="10" defaultRowHeight="16"/>
  <cols>
    <col min="2" max="2" width="17" bestFit="1" customWidth="1"/>
    <col min="3" max="3" width="12.6640625" bestFit="1" customWidth="1"/>
  </cols>
  <sheetData>
    <row r="2" spans="2:3">
      <c r="B2" s="178" t="s">
        <v>399</v>
      </c>
      <c r="C2" s="179" t="s">
        <v>400</v>
      </c>
    </row>
    <row r="3" spans="2:3">
      <c r="B3" s="151" t="s">
        <v>157</v>
      </c>
      <c r="C3" s="180" t="str">
        <f>IS!F9</f>
        <v>URBN</v>
      </c>
    </row>
    <row r="4" spans="2:3">
      <c r="B4" s="151" t="s">
        <v>3626</v>
      </c>
      <c r="C4" s="231">
        <v>2.5000000000000001E-2</v>
      </c>
    </row>
    <row r="5" spans="2:3">
      <c r="B5" s="151" t="s">
        <v>386</v>
      </c>
      <c r="C5" s="151">
        <v>49.28</v>
      </c>
    </row>
    <row r="6" spans="2:3">
      <c r="B6" s="151" t="s">
        <v>387</v>
      </c>
      <c r="C6" s="151">
        <v>61.16</v>
      </c>
    </row>
    <row r="7" spans="2:3">
      <c r="B7" s="151" t="s">
        <v>388</v>
      </c>
      <c r="C7" s="151">
        <v>33.86</v>
      </c>
    </row>
    <row r="15" spans="2:3">
      <c r="B15" t="s">
        <v>3677</v>
      </c>
      <c r="C15" s="600" t="s">
        <v>3678</v>
      </c>
    </row>
    <row r="16" spans="2:3">
      <c r="B16" t="s">
        <v>295</v>
      </c>
      <c r="C16" s="600" t="s">
        <v>3757</v>
      </c>
    </row>
    <row r="17" spans="2:3">
      <c r="B17" t="s">
        <v>157</v>
      </c>
      <c r="C17" s="600" t="str">
        <f>C3</f>
        <v>URBN</v>
      </c>
    </row>
    <row r="18" spans="2:3">
      <c r="B18" t="s">
        <v>3758</v>
      </c>
      <c r="C18">
        <v>1976</v>
      </c>
    </row>
    <row r="19" spans="2:3">
      <c r="B19" t="s">
        <v>3765</v>
      </c>
      <c r="C19" t="s">
        <v>3766</v>
      </c>
    </row>
    <row r="20" spans="2:3">
      <c r="B20" t="s">
        <v>3759</v>
      </c>
      <c r="C20">
        <f>C5</f>
        <v>49.28</v>
      </c>
    </row>
    <row r="21" spans="2:3">
      <c r="B21" t="s">
        <v>3761</v>
      </c>
      <c r="C21">
        <f>C6</f>
        <v>61.16</v>
      </c>
    </row>
    <row r="22" spans="2:3">
      <c r="B22" t="s">
        <v>3762</v>
      </c>
      <c r="C22">
        <f>C7</f>
        <v>33.86</v>
      </c>
    </row>
    <row r="23" spans="2:3">
      <c r="B23" t="s">
        <v>3760</v>
      </c>
      <c r="C23">
        <v>47.22</v>
      </c>
    </row>
    <row r="24" spans="2:3">
      <c r="B24" t="s">
        <v>3763</v>
      </c>
      <c r="C24" s="771">
        <v>0.46</v>
      </c>
    </row>
    <row r="25" spans="2:3">
      <c r="B25" t="s">
        <v>3764</v>
      </c>
      <c r="C25">
        <v>1.56</v>
      </c>
    </row>
    <row r="26" spans="2:3">
      <c r="B26" t="s">
        <v>3767</v>
      </c>
      <c r="C26">
        <v>11.6</v>
      </c>
    </row>
    <row r="27" spans="2:3">
      <c r="B27" t="s">
        <v>3768</v>
      </c>
      <c r="C27" s="808">
        <v>45796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5E8B8-EBDD-6345-9002-90002A92350E}">
  <sheetPr codeName="Sheet3"/>
  <dimension ref="A3:F32"/>
  <sheetViews>
    <sheetView showGridLines="0" zoomScale="125" workbookViewId="0">
      <selection activeCell="D22" sqref="D22"/>
    </sheetView>
  </sheetViews>
  <sheetFormatPr baseColWidth="10" defaultRowHeight="16"/>
  <cols>
    <col min="1" max="1" width="7.1640625" bestFit="1" customWidth="1"/>
    <col min="2" max="2" width="8" customWidth="1"/>
    <col min="3" max="3" width="13.33203125" customWidth="1"/>
    <col min="5" max="5" width="13" bestFit="1" customWidth="1"/>
    <col min="6" max="6" width="17.33203125" bestFit="1" customWidth="1"/>
  </cols>
  <sheetData>
    <row r="3" spans="1:6">
      <c r="A3" t="s">
        <v>543</v>
      </c>
      <c r="B3" t="s">
        <v>3676</v>
      </c>
      <c r="C3" t="s">
        <v>3682</v>
      </c>
      <c r="E3" s="31" t="s">
        <v>149</v>
      </c>
      <c r="F3" t="s">
        <v>3683</v>
      </c>
    </row>
    <row r="4" spans="1:6">
      <c r="A4" t="s">
        <v>143</v>
      </c>
      <c r="B4" t="s">
        <v>139</v>
      </c>
      <c r="C4">
        <v>10000</v>
      </c>
      <c r="E4" s="2" t="s">
        <v>143</v>
      </c>
      <c r="F4">
        <v>35000</v>
      </c>
    </row>
    <row r="5" spans="1:6">
      <c r="A5" t="s">
        <v>143</v>
      </c>
      <c r="B5" t="s">
        <v>140</v>
      </c>
      <c r="C5">
        <v>25000</v>
      </c>
      <c r="E5" s="1" t="s">
        <v>139</v>
      </c>
      <c r="F5">
        <v>10000</v>
      </c>
    </row>
    <row r="6" spans="1:6">
      <c r="A6" t="s">
        <v>144</v>
      </c>
      <c r="B6" t="s">
        <v>141</v>
      </c>
      <c r="C6">
        <v>13000</v>
      </c>
      <c r="E6" s="1" t="s">
        <v>140</v>
      </c>
      <c r="F6">
        <v>25000</v>
      </c>
    </row>
    <row r="7" spans="1:6">
      <c r="A7" t="s">
        <v>144</v>
      </c>
      <c r="B7" t="s">
        <v>142</v>
      </c>
      <c r="C7">
        <v>15000</v>
      </c>
      <c r="E7" s="2" t="s">
        <v>144</v>
      </c>
      <c r="F7">
        <v>63000</v>
      </c>
    </row>
    <row r="8" spans="1:6">
      <c r="A8" t="s">
        <v>144</v>
      </c>
      <c r="B8" t="s">
        <v>139</v>
      </c>
      <c r="C8">
        <v>17000</v>
      </c>
      <c r="E8" s="1" t="s">
        <v>141</v>
      </c>
      <c r="F8">
        <v>13000</v>
      </c>
    </row>
    <row r="9" spans="1:6">
      <c r="A9" t="s">
        <v>144</v>
      </c>
      <c r="B9" t="s">
        <v>140</v>
      </c>
      <c r="C9">
        <v>18000</v>
      </c>
      <c r="E9" s="1" t="s">
        <v>142</v>
      </c>
      <c r="F9">
        <v>15000</v>
      </c>
    </row>
    <row r="10" spans="1:6">
      <c r="A10" t="s">
        <v>145</v>
      </c>
      <c r="B10" t="s">
        <v>141</v>
      </c>
      <c r="C10">
        <v>23000</v>
      </c>
      <c r="E10" s="1" t="s">
        <v>139</v>
      </c>
      <c r="F10">
        <v>17000</v>
      </c>
    </row>
    <row r="11" spans="1:6">
      <c r="A11" t="s">
        <v>145</v>
      </c>
      <c r="B11" t="s">
        <v>142</v>
      </c>
      <c r="C11">
        <v>27000</v>
      </c>
      <c r="E11" s="1" t="s">
        <v>140</v>
      </c>
      <c r="F11">
        <v>18000</v>
      </c>
    </row>
    <row r="12" spans="1:6">
      <c r="A12" t="s">
        <v>145</v>
      </c>
      <c r="B12" t="s">
        <v>139</v>
      </c>
      <c r="C12">
        <v>42000</v>
      </c>
      <c r="E12" s="2" t="s">
        <v>145</v>
      </c>
      <c r="F12">
        <v>144000</v>
      </c>
    </row>
    <row r="13" spans="1:6">
      <c r="A13" t="s">
        <v>145</v>
      </c>
      <c r="B13" t="s">
        <v>140</v>
      </c>
      <c r="C13">
        <v>52000</v>
      </c>
      <c r="E13" s="1" t="s">
        <v>141</v>
      </c>
      <c r="F13">
        <v>23000</v>
      </c>
    </row>
    <row r="14" spans="1:6">
      <c r="A14" t="s">
        <v>12</v>
      </c>
      <c r="B14" t="s">
        <v>141</v>
      </c>
      <c r="C14">
        <v>75000</v>
      </c>
      <c r="E14" s="1" t="s">
        <v>142</v>
      </c>
      <c r="F14">
        <v>27000</v>
      </c>
    </row>
    <row r="15" spans="1:6">
      <c r="A15" t="s">
        <v>12</v>
      </c>
      <c r="B15" t="s">
        <v>142</v>
      </c>
      <c r="C15">
        <v>80000</v>
      </c>
      <c r="E15" s="1" t="s">
        <v>139</v>
      </c>
      <c r="F15">
        <v>42000</v>
      </c>
    </row>
    <row r="16" spans="1:6">
      <c r="A16" t="s">
        <v>12</v>
      </c>
      <c r="B16" t="s">
        <v>139</v>
      </c>
      <c r="C16">
        <v>118000</v>
      </c>
      <c r="E16" s="1" t="s">
        <v>140</v>
      </c>
      <c r="F16">
        <v>52000</v>
      </c>
    </row>
    <row r="17" spans="1:6">
      <c r="A17" t="s">
        <v>12</v>
      </c>
      <c r="B17" t="s">
        <v>140</v>
      </c>
      <c r="C17">
        <v>125000</v>
      </c>
      <c r="E17" s="2" t="s">
        <v>12</v>
      </c>
      <c r="F17">
        <v>398000</v>
      </c>
    </row>
    <row r="18" spans="1:6">
      <c r="A18" t="s">
        <v>146</v>
      </c>
      <c r="B18" t="s">
        <v>141</v>
      </c>
      <c r="C18">
        <v>162000</v>
      </c>
      <c r="E18" s="1" t="s">
        <v>141</v>
      </c>
      <c r="F18">
        <v>75000</v>
      </c>
    </row>
    <row r="19" spans="1:6">
      <c r="A19" t="s">
        <v>146</v>
      </c>
      <c r="B19" t="s">
        <v>142</v>
      </c>
      <c r="C19">
        <v>155000</v>
      </c>
      <c r="E19" s="1" t="s">
        <v>142</v>
      </c>
      <c r="F19">
        <v>80000</v>
      </c>
    </row>
    <row r="20" spans="1:6">
      <c r="A20" t="s">
        <v>146</v>
      </c>
      <c r="B20" t="s">
        <v>139</v>
      </c>
      <c r="C20">
        <v>197000</v>
      </c>
      <c r="E20" s="1" t="s">
        <v>139</v>
      </c>
      <c r="F20">
        <v>118000</v>
      </c>
    </row>
    <row r="21" spans="1:6">
      <c r="A21" t="s">
        <v>146</v>
      </c>
      <c r="B21" t="s">
        <v>140</v>
      </c>
      <c r="C21">
        <v>188000</v>
      </c>
      <c r="E21" s="1" t="s">
        <v>140</v>
      </c>
      <c r="F21">
        <v>125000</v>
      </c>
    </row>
    <row r="22" spans="1:6">
      <c r="A22" t="s">
        <v>147</v>
      </c>
      <c r="B22" t="s">
        <v>141</v>
      </c>
      <c r="C22">
        <v>240000</v>
      </c>
      <c r="E22" s="2" t="s">
        <v>146</v>
      </c>
      <c r="F22">
        <v>702000</v>
      </c>
    </row>
    <row r="23" spans="1:6">
      <c r="A23" t="s">
        <v>147</v>
      </c>
      <c r="B23" t="s">
        <v>142</v>
      </c>
      <c r="C23">
        <v>237000</v>
      </c>
      <c r="E23" s="1" t="s">
        <v>141</v>
      </c>
      <c r="F23">
        <v>162000</v>
      </c>
    </row>
    <row r="24" spans="1:6">
      <c r="A24" t="s">
        <v>147</v>
      </c>
      <c r="B24" t="s">
        <v>139</v>
      </c>
      <c r="C24">
        <v>285000</v>
      </c>
      <c r="E24" s="1" t="s">
        <v>142</v>
      </c>
      <c r="F24">
        <v>155000</v>
      </c>
    </row>
    <row r="25" spans="1:6">
      <c r="A25" t="s">
        <v>147</v>
      </c>
      <c r="B25" t="s">
        <v>140</v>
      </c>
      <c r="C25">
        <v>292000</v>
      </c>
      <c r="E25" s="1" t="s">
        <v>139</v>
      </c>
      <c r="F25">
        <v>197000</v>
      </c>
    </row>
    <row r="26" spans="1:6">
      <c r="A26" t="s">
        <v>3756</v>
      </c>
      <c r="C26" s="21">
        <f>(C25/C9)^(1/4)</f>
        <v>2.0069085657294381</v>
      </c>
      <c r="E26" s="1" t="s">
        <v>140</v>
      </c>
      <c r="F26">
        <v>188000</v>
      </c>
    </row>
    <row r="27" spans="1:6">
      <c r="E27" s="2" t="s">
        <v>147</v>
      </c>
      <c r="F27">
        <v>1054000</v>
      </c>
    </row>
    <row r="28" spans="1:6">
      <c r="E28" s="1" t="s">
        <v>141</v>
      </c>
      <c r="F28">
        <v>240000</v>
      </c>
    </row>
    <row r="29" spans="1:6">
      <c r="E29" s="1" t="s">
        <v>142</v>
      </c>
      <c r="F29">
        <v>237000</v>
      </c>
    </row>
    <row r="30" spans="1:6">
      <c r="E30" s="1" t="s">
        <v>139</v>
      </c>
      <c r="F30">
        <v>285000</v>
      </c>
    </row>
    <row r="31" spans="1:6">
      <c r="E31" s="1" t="s">
        <v>140</v>
      </c>
      <c r="F31">
        <v>292000</v>
      </c>
    </row>
    <row r="32" spans="1:6">
      <c r="E32" s="2" t="s">
        <v>148</v>
      </c>
      <c r="F32">
        <v>2396000</v>
      </c>
    </row>
  </sheetData>
  <phoneticPr fontId="83" type="noConversion"/>
  <pageMargins left="0.7" right="0.7" top="0.75" bottom="0.75" header="0.3" footer="0.3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CA797-5D2A-5C44-AFD3-1EE6BB862247}">
  <sheetPr codeName="Sheet1"/>
  <dimension ref="B6:Q61"/>
  <sheetViews>
    <sheetView showGridLines="0" workbookViewId="0">
      <selection activeCell="Q21" sqref="Q21"/>
    </sheetView>
  </sheetViews>
  <sheetFormatPr baseColWidth="10" defaultRowHeight="16"/>
  <cols>
    <col min="2" max="2" width="35.83203125" bestFit="1" customWidth="1"/>
    <col min="4" max="4" width="12.6640625" customWidth="1"/>
    <col min="5" max="5" width="11.1640625" customWidth="1"/>
    <col min="6" max="6" width="9.1640625" bestFit="1" customWidth="1"/>
    <col min="7" max="7" width="10.1640625" bestFit="1" customWidth="1"/>
    <col min="8" max="8" width="9.1640625" bestFit="1" customWidth="1"/>
    <col min="9" max="9" width="10.1640625" bestFit="1" customWidth="1"/>
    <col min="19" max="19" width="25.83203125" bestFit="1" customWidth="1"/>
    <col min="20" max="20" width="16" bestFit="1" customWidth="1"/>
    <col min="21" max="26" width="5.1640625" bestFit="1" customWidth="1"/>
    <col min="27" max="27" width="10.5" bestFit="1" customWidth="1"/>
  </cols>
  <sheetData>
    <row r="6" spans="2:17">
      <c r="B6" s="4"/>
    </row>
    <row r="7" spans="2:17">
      <c r="B7" s="15" t="s">
        <v>25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13</v>
      </c>
      <c r="L7" s="5" t="s">
        <v>14</v>
      </c>
      <c r="M7" s="5" t="s">
        <v>15</v>
      </c>
      <c r="N7" s="5" t="s">
        <v>16</v>
      </c>
      <c r="O7" s="5" t="s">
        <v>3679</v>
      </c>
      <c r="P7" s="5" t="s">
        <v>3615</v>
      </c>
      <c r="Q7" s="6" t="s">
        <v>3680</v>
      </c>
    </row>
    <row r="8" spans="2:17">
      <c r="B8" s="7" t="s">
        <v>0</v>
      </c>
      <c r="Q8" s="8"/>
    </row>
    <row r="9" spans="2:17">
      <c r="B9" s="9" t="s">
        <v>2</v>
      </c>
      <c r="C9" s="16">
        <f>179+16</f>
        <v>195</v>
      </c>
      <c r="D9" s="16">
        <f>179+18</f>
        <v>197</v>
      </c>
      <c r="E9" s="16">
        <f>181+18</f>
        <v>199</v>
      </c>
      <c r="F9" s="16">
        <f>180+18</f>
        <v>198</v>
      </c>
      <c r="G9" s="16">
        <f>178+17</f>
        <v>195</v>
      </c>
      <c r="H9" s="16">
        <f>177+17</f>
        <v>194</v>
      </c>
      <c r="I9" s="16">
        <f>174+17</f>
        <v>191</v>
      </c>
      <c r="J9" s="16">
        <f>184+18</f>
        <v>202</v>
      </c>
      <c r="K9" s="16">
        <f>183+18</f>
        <v>201</v>
      </c>
      <c r="L9" s="16">
        <f>179+17</f>
        <v>196</v>
      </c>
      <c r="M9" s="841">
        <v>196</v>
      </c>
      <c r="N9" s="841">
        <v>194</v>
      </c>
      <c r="O9" s="841">
        <v>194</v>
      </c>
      <c r="P9" s="841">
        <v>185</v>
      </c>
      <c r="Q9" s="22">
        <v>177</v>
      </c>
    </row>
    <row r="10" spans="2:17">
      <c r="B10" s="9" t="s">
        <v>3</v>
      </c>
      <c r="C10" s="16">
        <v>43</v>
      </c>
      <c r="D10" s="16">
        <v>43</v>
      </c>
      <c r="E10" s="16">
        <v>43</v>
      </c>
      <c r="F10" s="16">
        <v>47</v>
      </c>
      <c r="G10" s="16">
        <v>50</v>
      </c>
      <c r="H10" s="16">
        <v>54</v>
      </c>
      <c r="I10" s="16">
        <v>56</v>
      </c>
      <c r="J10" s="16">
        <v>59</v>
      </c>
      <c r="K10" s="16">
        <v>62</v>
      </c>
      <c r="L10" s="16">
        <v>66</v>
      </c>
      <c r="M10" s="16">
        <v>68</v>
      </c>
      <c r="N10" s="16">
        <v>69</v>
      </c>
      <c r="O10" s="841">
        <v>70</v>
      </c>
      <c r="P10" s="841">
        <v>69</v>
      </c>
      <c r="Q10" s="22">
        <v>72</v>
      </c>
    </row>
    <row r="11" spans="2:17">
      <c r="B11" s="10" t="s">
        <v>3681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5</v>
      </c>
      <c r="I11" s="23">
        <v>1</v>
      </c>
      <c r="J11" s="23">
        <v>2</v>
      </c>
      <c r="K11" s="23">
        <v>6</v>
      </c>
      <c r="L11" s="23">
        <v>7</v>
      </c>
      <c r="M11" s="23">
        <v>7</v>
      </c>
      <c r="N11" s="23">
        <v>7</v>
      </c>
      <c r="O11" s="24">
        <v>0</v>
      </c>
      <c r="P11" s="24">
        <v>0</v>
      </c>
      <c r="Q11" s="25">
        <v>0</v>
      </c>
    </row>
    <row r="12" spans="2:17">
      <c r="B12" s="11" t="s">
        <v>17</v>
      </c>
      <c r="C12" s="4">
        <f t="shared" ref="C12:Q12" si="0">SUM(C9:C11)</f>
        <v>238</v>
      </c>
      <c r="D12" s="4">
        <f t="shared" si="0"/>
        <v>240</v>
      </c>
      <c r="E12" s="4">
        <f t="shared" si="0"/>
        <v>242</v>
      </c>
      <c r="F12" s="4">
        <f t="shared" si="0"/>
        <v>245</v>
      </c>
      <c r="G12" s="4">
        <f t="shared" si="0"/>
        <v>245</v>
      </c>
      <c r="H12" s="4">
        <f t="shared" si="0"/>
        <v>253</v>
      </c>
      <c r="I12" s="4">
        <f t="shared" si="0"/>
        <v>248</v>
      </c>
      <c r="J12" s="4">
        <f t="shared" si="0"/>
        <v>263</v>
      </c>
      <c r="K12" s="4">
        <f t="shared" si="0"/>
        <v>269</v>
      </c>
      <c r="L12" s="4">
        <f t="shared" si="0"/>
        <v>269</v>
      </c>
      <c r="M12" s="4">
        <f t="shared" si="0"/>
        <v>271</v>
      </c>
      <c r="N12" s="4">
        <f t="shared" si="0"/>
        <v>270</v>
      </c>
      <c r="O12" s="4">
        <f t="shared" si="0"/>
        <v>264</v>
      </c>
      <c r="P12" s="4">
        <f t="shared" si="0"/>
        <v>254</v>
      </c>
      <c r="Q12" s="13">
        <f t="shared" si="0"/>
        <v>249</v>
      </c>
    </row>
    <row r="13" spans="2:17">
      <c r="B13" s="11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26"/>
    </row>
    <row r="14" spans="2:17">
      <c r="B14" s="7" t="s">
        <v>20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26"/>
    </row>
    <row r="15" spans="2:17">
      <c r="B15" s="9" t="s">
        <v>2</v>
      </c>
      <c r="C15" s="16">
        <f>185+12+2</f>
        <v>199</v>
      </c>
      <c r="D15" s="16">
        <f>197+12</f>
        <v>209</v>
      </c>
      <c r="E15" s="16">
        <f>201+13</f>
        <v>214</v>
      </c>
      <c r="F15" s="16">
        <f>204+12</f>
        <v>216</v>
      </c>
      <c r="G15" s="16">
        <f>204+12</f>
        <v>216</v>
      </c>
      <c r="H15" s="16">
        <f>200+11</f>
        <v>211</v>
      </c>
      <c r="I15" s="16">
        <f>204+11</f>
        <v>215</v>
      </c>
      <c r="J15" s="16">
        <f>206+11</f>
        <v>217</v>
      </c>
      <c r="K15" s="16">
        <f>207+10</f>
        <v>217</v>
      </c>
      <c r="L15" s="16">
        <f>209+9</f>
        <v>218</v>
      </c>
      <c r="M15" s="841">
        <v>219</v>
      </c>
      <c r="N15" s="841">
        <v>222</v>
      </c>
      <c r="O15" s="841">
        <v>225</v>
      </c>
      <c r="P15" s="841">
        <v>223</v>
      </c>
      <c r="Q15" s="22">
        <v>234</v>
      </c>
    </row>
    <row r="16" spans="2:17">
      <c r="B16" s="9" t="s">
        <v>3</v>
      </c>
      <c r="C16" s="16">
        <v>7</v>
      </c>
      <c r="D16" s="16">
        <v>9</v>
      </c>
      <c r="E16" s="16">
        <v>11</v>
      </c>
      <c r="F16" s="16">
        <v>10</v>
      </c>
      <c r="G16" s="16">
        <v>11</v>
      </c>
      <c r="H16" s="16">
        <v>20</v>
      </c>
      <c r="I16" s="16">
        <v>22</v>
      </c>
      <c r="J16" s="16">
        <v>21</v>
      </c>
      <c r="K16" s="16">
        <v>21</v>
      </c>
      <c r="L16" s="16">
        <v>19</v>
      </c>
      <c r="M16" s="16">
        <v>19</v>
      </c>
      <c r="N16" s="16">
        <v>17</v>
      </c>
      <c r="O16" s="841">
        <v>17</v>
      </c>
      <c r="P16" s="841">
        <v>17</v>
      </c>
      <c r="Q16" s="22">
        <v>18</v>
      </c>
    </row>
    <row r="17" spans="2:17">
      <c r="B17" s="10" t="s">
        <v>3681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1</v>
      </c>
      <c r="I17" s="23">
        <v>0</v>
      </c>
      <c r="J17" s="23">
        <v>1</v>
      </c>
      <c r="K17" s="23">
        <v>2</v>
      </c>
      <c r="L17" s="23">
        <v>2</v>
      </c>
      <c r="M17" s="23">
        <v>2</v>
      </c>
      <c r="N17" s="23">
        <v>2</v>
      </c>
      <c r="O17" s="24">
        <v>0</v>
      </c>
      <c r="P17" s="24">
        <v>0</v>
      </c>
      <c r="Q17" s="25">
        <v>0</v>
      </c>
    </row>
    <row r="18" spans="2:17">
      <c r="B18" s="11" t="s">
        <v>17</v>
      </c>
      <c r="C18" s="4">
        <f t="shared" ref="C18:Q18" si="1">SUM(C15:C17)</f>
        <v>206</v>
      </c>
      <c r="D18" s="4">
        <f t="shared" si="1"/>
        <v>218</v>
      </c>
      <c r="E18" s="4">
        <f t="shared" si="1"/>
        <v>225</v>
      </c>
      <c r="F18" s="4">
        <f t="shared" si="1"/>
        <v>226</v>
      </c>
      <c r="G18" s="4">
        <f t="shared" si="1"/>
        <v>227</v>
      </c>
      <c r="H18" s="4">
        <f t="shared" si="1"/>
        <v>232</v>
      </c>
      <c r="I18" s="4">
        <f t="shared" si="1"/>
        <v>237</v>
      </c>
      <c r="J18" s="4">
        <f t="shared" si="1"/>
        <v>239</v>
      </c>
      <c r="K18" s="4">
        <f t="shared" si="1"/>
        <v>240</v>
      </c>
      <c r="L18" s="4">
        <f t="shared" si="1"/>
        <v>239</v>
      </c>
      <c r="M18" s="4">
        <f t="shared" si="1"/>
        <v>240</v>
      </c>
      <c r="N18" s="4">
        <f t="shared" si="1"/>
        <v>241</v>
      </c>
      <c r="O18" s="4">
        <f t="shared" si="1"/>
        <v>242</v>
      </c>
      <c r="P18" s="4">
        <f t="shared" si="1"/>
        <v>240</v>
      </c>
      <c r="Q18" s="13">
        <f t="shared" si="1"/>
        <v>252</v>
      </c>
    </row>
    <row r="19" spans="2:17">
      <c r="B19" s="11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26"/>
    </row>
    <row r="20" spans="2:17">
      <c r="B20" s="7" t="s">
        <v>1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26"/>
    </row>
    <row r="21" spans="2:17">
      <c r="B21" s="9" t="s">
        <v>2</v>
      </c>
      <c r="C21" s="16">
        <f>98+4</f>
        <v>102</v>
      </c>
      <c r="D21" s="16">
        <f>109+5</f>
        <v>114</v>
      </c>
      <c r="E21" s="16">
        <f>121+6</f>
        <v>127</v>
      </c>
      <c r="F21" s="16">
        <f>126+6</f>
        <v>132</v>
      </c>
      <c r="G21" s="16">
        <f>127+6</f>
        <v>133</v>
      </c>
      <c r="H21" s="16">
        <f>134+6</f>
        <v>140</v>
      </c>
      <c r="I21" s="16">
        <f>138+6</f>
        <v>144</v>
      </c>
      <c r="J21" s="16">
        <f>162+5</f>
        <v>167</v>
      </c>
      <c r="K21" s="16">
        <f>174+3</f>
        <v>177</v>
      </c>
      <c r="L21" s="16">
        <f>183+3</f>
        <v>186</v>
      </c>
      <c r="M21" s="16">
        <f>148+39</f>
        <v>187</v>
      </c>
      <c r="N21" s="16">
        <f>148+45</f>
        <v>193</v>
      </c>
      <c r="O21" s="841">
        <f>154+50</f>
        <v>204</v>
      </c>
      <c r="P21" s="841">
        <f>165+63</f>
        <v>228</v>
      </c>
      <c r="Q21" s="22">
        <f>165+83</f>
        <v>248</v>
      </c>
    </row>
    <row r="22" spans="2:17">
      <c r="B22" s="9" t="s">
        <v>3</v>
      </c>
      <c r="C22" s="16">
        <v>0</v>
      </c>
      <c r="D22" s="16">
        <v>0</v>
      </c>
      <c r="E22" s="16">
        <v>0</v>
      </c>
      <c r="F22" s="16">
        <v>0</v>
      </c>
      <c r="G22" s="16">
        <v>2</v>
      </c>
      <c r="H22" s="16">
        <v>4</v>
      </c>
      <c r="I22" s="16">
        <v>5</v>
      </c>
      <c r="J22" s="16">
        <v>6</v>
      </c>
      <c r="K22" s="16">
        <v>11</v>
      </c>
      <c r="L22" s="16">
        <v>12</v>
      </c>
      <c r="M22" s="16">
        <v>12</v>
      </c>
      <c r="N22" s="16">
        <v>12</v>
      </c>
      <c r="O22" s="841">
        <v>12</v>
      </c>
      <c r="P22" s="841">
        <v>11</v>
      </c>
      <c r="Q22" s="22">
        <v>14</v>
      </c>
    </row>
    <row r="23" spans="2:17">
      <c r="B23" s="10" t="s">
        <v>3681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1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4">
        <v>0</v>
      </c>
      <c r="P23" s="24">
        <v>0</v>
      </c>
      <c r="Q23" s="25">
        <v>0</v>
      </c>
    </row>
    <row r="24" spans="2:17">
      <c r="B24" s="11" t="s">
        <v>17</v>
      </c>
      <c r="C24" s="4">
        <f t="shared" ref="C24:Q24" si="2">SUM(C21:C23)</f>
        <v>102</v>
      </c>
      <c r="D24" s="4">
        <f t="shared" si="2"/>
        <v>114</v>
      </c>
      <c r="E24" s="4">
        <f t="shared" si="2"/>
        <v>127</v>
      </c>
      <c r="F24" s="4">
        <f t="shared" si="2"/>
        <v>132</v>
      </c>
      <c r="G24" s="4">
        <f t="shared" si="2"/>
        <v>135</v>
      </c>
      <c r="H24" s="4">
        <f t="shared" si="2"/>
        <v>145</v>
      </c>
      <c r="I24" s="4">
        <f t="shared" si="2"/>
        <v>149</v>
      </c>
      <c r="J24" s="4">
        <f t="shared" si="2"/>
        <v>173</v>
      </c>
      <c r="K24" s="4">
        <f t="shared" si="2"/>
        <v>188</v>
      </c>
      <c r="L24" s="4">
        <f t="shared" si="2"/>
        <v>198</v>
      </c>
      <c r="M24" s="4">
        <f t="shared" si="2"/>
        <v>199</v>
      </c>
      <c r="N24" s="4">
        <f t="shared" si="2"/>
        <v>205</v>
      </c>
      <c r="O24" s="4">
        <f t="shared" si="2"/>
        <v>216</v>
      </c>
      <c r="P24" s="4">
        <f t="shared" si="2"/>
        <v>239</v>
      </c>
      <c r="Q24" s="13">
        <f t="shared" si="2"/>
        <v>262</v>
      </c>
    </row>
    <row r="25" spans="2:17">
      <c r="B25" s="11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26"/>
    </row>
    <row r="26" spans="2:17">
      <c r="B26" s="12" t="s">
        <v>21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26"/>
    </row>
    <row r="27" spans="2:17">
      <c r="B27" s="10" t="s">
        <v>19</v>
      </c>
      <c r="C27" s="23">
        <v>0</v>
      </c>
      <c r="D27" s="23">
        <v>0</v>
      </c>
      <c r="E27" s="23">
        <v>12</v>
      </c>
      <c r="F27" s="23">
        <v>10</v>
      </c>
      <c r="G27" s="23">
        <v>13</v>
      </c>
      <c r="H27" s="23">
        <v>11</v>
      </c>
      <c r="I27" s="23">
        <v>11</v>
      </c>
      <c r="J27" s="23">
        <v>10</v>
      </c>
      <c r="K27" s="23">
        <v>11</v>
      </c>
      <c r="L27" s="23">
        <v>9</v>
      </c>
      <c r="M27" s="23">
        <v>9</v>
      </c>
      <c r="N27" s="23">
        <v>9</v>
      </c>
      <c r="O27" s="24">
        <v>9</v>
      </c>
      <c r="P27" s="24">
        <v>9</v>
      </c>
      <c r="Q27" s="25">
        <v>9</v>
      </c>
    </row>
    <row r="28" spans="2:17">
      <c r="B28" s="11" t="s">
        <v>17</v>
      </c>
      <c r="C28" s="841">
        <f>C27</f>
        <v>0</v>
      </c>
      <c r="D28" s="841">
        <f t="shared" ref="D28:Q28" si="3">D27</f>
        <v>0</v>
      </c>
      <c r="E28" s="841">
        <f t="shared" si="3"/>
        <v>12</v>
      </c>
      <c r="F28" s="841">
        <f t="shared" si="3"/>
        <v>10</v>
      </c>
      <c r="G28" s="841">
        <f t="shared" si="3"/>
        <v>13</v>
      </c>
      <c r="H28" s="841">
        <f t="shared" si="3"/>
        <v>11</v>
      </c>
      <c r="I28" s="841">
        <f t="shared" si="3"/>
        <v>11</v>
      </c>
      <c r="J28" s="841">
        <f t="shared" si="3"/>
        <v>10</v>
      </c>
      <c r="K28" s="841">
        <f t="shared" si="3"/>
        <v>11</v>
      </c>
      <c r="L28" s="841">
        <f t="shared" si="3"/>
        <v>9</v>
      </c>
      <c r="M28" s="841">
        <f t="shared" si="3"/>
        <v>9</v>
      </c>
      <c r="N28" s="841">
        <f t="shared" si="3"/>
        <v>9</v>
      </c>
      <c r="O28" s="841">
        <f t="shared" si="3"/>
        <v>9</v>
      </c>
      <c r="P28" s="841">
        <f t="shared" si="3"/>
        <v>9</v>
      </c>
      <c r="Q28" s="22">
        <f t="shared" si="3"/>
        <v>9</v>
      </c>
    </row>
    <row r="29" spans="2:17">
      <c r="B29" s="11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26"/>
    </row>
    <row r="30" spans="2:17">
      <c r="B30" s="842" t="s">
        <v>22</v>
      </c>
      <c r="C30" s="17">
        <f t="shared" ref="C30:Q30" si="4">SUM(C28,C24,C18,C12)</f>
        <v>546</v>
      </c>
      <c r="D30" s="17">
        <f t="shared" si="4"/>
        <v>572</v>
      </c>
      <c r="E30" s="17">
        <f t="shared" si="4"/>
        <v>606</v>
      </c>
      <c r="F30" s="17">
        <f t="shared" si="4"/>
        <v>613</v>
      </c>
      <c r="G30" s="17">
        <f t="shared" si="4"/>
        <v>620</v>
      </c>
      <c r="H30" s="17">
        <f t="shared" si="4"/>
        <v>641</v>
      </c>
      <c r="I30" s="17">
        <f t="shared" si="4"/>
        <v>645</v>
      </c>
      <c r="J30" s="17">
        <f t="shared" si="4"/>
        <v>685</v>
      </c>
      <c r="K30" s="17">
        <f t="shared" si="4"/>
        <v>708</v>
      </c>
      <c r="L30" s="17">
        <f t="shared" si="4"/>
        <v>715</v>
      </c>
      <c r="M30" s="17">
        <f t="shared" si="4"/>
        <v>719</v>
      </c>
      <c r="N30" s="17">
        <f t="shared" si="4"/>
        <v>725</v>
      </c>
      <c r="O30" s="17">
        <f t="shared" si="4"/>
        <v>731</v>
      </c>
      <c r="P30" s="17">
        <f t="shared" si="4"/>
        <v>742</v>
      </c>
      <c r="Q30" s="843">
        <f t="shared" si="4"/>
        <v>772</v>
      </c>
    </row>
    <row r="43" spans="6:9">
      <c r="G43" s="14"/>
      <c r="I43" s="14"/>
    </row>
    <row r="44" spans="6:9">
      <c r="G44" s="14"/>
      <c r="I44" s="14"/>
    </row>
    <row r="46" spans="6:9">
      <c r="F46" s="14"/>
      <c r="H46" s="14"/>
    </row>
    <row r="47" spans="6:9">
      <c r="F47" s="14"/>
      <c r="H47" s="14"/>
    </row>
    <row r="48" spans="6:9">
      <c r="F48" s="14"/>
      <c r="H48" s="14"/>
    </row>
    <row r="49" spans="6:8">
      <c r="F49" s="14"/>
      <c r="H49" s="14"/>
    </row>
    <row r="50" spans="6:8">
      <c r="F50" s="14"/>
      <c r="H50" s="14"/>
    </row>
    <row r="51" spans="6:8">
      <c r="F51" s="14"/>
      <c r="H51" s="14"/>
    </row>
    <row r="52" spans="6:8">
      <c r="F52" s="14"/>
      <c r="H52" s="14"/>
    </row>
    <row r="53" spans="6:8">
      <c r="F53" s="14"/>
      <c r="H53" s="14"/>
    </row>
    <row r="54" spans="6:8">
      <c r="F54" s="14"/>
      <c r="H54" s="14"/>
    </row>
    <row r="55" spans="6:8">
      <c r="F55" s="14"/>
      <c r="H55" s="14"/>
    </row>
    <row r="56" spans="6:8">
      <c r="F56" s="14"/>
      <c r="H56" s="14"/>
    </row>
    <row r="57" spans="6:8">
      <c r="F57" s="14"/>
      <c r="H57" s="14"/>
    </row>
    <row r="58" spans="6:8">
      <c r="F58" s="14"/>
      <c r="H58" s="14"/>
    </row>
    <row r="59" spans="6:8">
      <c r="F59" s="14"/>
      <c r="H59" s="14"/>
    </row>
    <row r="60" spans="6:8">
      <c r="F60" s="14"/>
      <c r="H60" s="14"/>
    </row>
    <row r="61" spans="6:8">
      <c r="F61" s="14"/>
      <c r="H61" s="1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79C4-DCDC-DC4D-9392-01DB4FB188AC}">
  <dimension ref="A3:M187"/>
  <sheetViews>
    <sheetView showGridLines="0" topLeftCell="A10" zoomScale="87" zoomScaleNormal="110" workbookViewId="0">
      <selection activeCell="F17" sqref="F17"/>
    </sheetView>
  </sheetViews>
  <sheetFormatPr baseColWidth="10" defaultRowHeight="16"/>
  <cols>
    <col min="2" max="2" width="13.33203125" customWidth="1"/>
    <col min="3" max="3" width="29.6640625" customWidth="1"/>
    <col min="4" max="4" width="24.5" customWidth="1"/>
    <col min="5" max="5" width="18.1640625" customWidth="1"/>
    <col min="6" max="6" width="20" customWidth="1"/>
    <col min="7" max="7" width="20.83203125" customWidth="1"/>
    <col min="8" max="8" width="20" customWidth="1"/>
    <col min="9" max="9" width="26.1640625" customWidth="1"/>
    <col min="10" max="10" width="22" customWidth="1"/>
    <col min="11" max="11" width="33.33203125" customWidth="1"/>
    <col min="12" max="12" width="12.83203125" customWidth="1"/>
    <col min="13" max="13" width="13.6640625" customWidth="1"/>
  </cols>
  <sheetData>
    <row r="3" spans="1:3" ht="34">
      <c r="B3" s="851" t="s">
        <v>3721</v>
      </c>
    </row>
    <row r="4" spans="1:3">
      <c r="B4" t="s">
        <v>543</v>
      </c>
      <c r="C4" t="s">
        <v>3684</v>
      </c>
    </row>
    <row r="5" spans="1:3">
      <c r="B5" s="2">
        <v>2018</v>
      </c>
      <c r="C5">
        <v>1.58</v>
      </c>
    </row>
    <row r="6" spans="1:3">
      <c r="B6" s="2">
        <v>2019</v>
      </c>
      <c r="C6">
        <v>1.57</v>
      </c>
    </row>
    <row r="7" spans="1:3">
      <c r="B7" s="2">
        <v>2020</v>
      </c>
      <c r="C7">
        <v>1.39</v>
      </c>
    </row>
    <row r="8" spans="1:3">
      <c r="B8" s="2">
        <v>2021</v>
      </c>
      <c r="C8">
        <v>1.55</v>
      </c>
    </row>
    <row r="9" spans="1:3">
      <c r="B9" s="2">
        <v>2022</v>
      </c>
      <c r="C9">
        <v>1.57</v>
      </c>
    </row>
    <row r="10" spans="1:3">
      <c r="B10" s="2">
        <v>2023</v>
      </c>
      <c r="C10">
        <v>1.73</v>
      </c>
    </row>
    <row r="11" spans="1:3">
      <c r="B11" s="2">
        <v>2024</v>
      </c>
      <c r="C11">
        <v>1.79</v>
      </c>
    </row>
    <row r="12" spans="1:3">
      <c r="B12" t="s">
        <v>3748</v>
      </c>
      <c r="C12">
        <v>1.84</v>
      </c>
    </row>
    <row r="13" spans="1:3">
      <c r="B13" t="s">
        <v>3749</v>
      </c>
      <c r="C13">
        <v>1.89</v>
      </c>
    </row>
    <row r="14" spans="1:3">
      <c r="B14" t="s">
        <v>3750</v>
      </c>
      <c r="C14">
        <v>1.94</v>
      </c>
    </row>
    <row r="15" spans="1:3">
      <c r="B15" t="s">
        <v>3751</v>
      </c>
      <c r="C15">
        <v>2</v>
      </c>
    </row>
    <row r="16" spans="1:3">
      <c r="A16" t="s">
        <v>3722</v>
      </c>
      <c r="B16" s="844" t="s">
        <v>3727</v>
      </c>
    </row>
    <row r="18" spans="2:5" ht="34">
      <c r="B18" s="851" t="s">
        <v>3723</v>
      </c>
    </row>
    <row r="19" spans="2:5">
      <c r="B19" t="s">
        <v>3699</v>
      </c>
      <c r="C19" t="s">
        <v>3698</v>
      </c>
      <c r="D19" t="s">
        <v>3684</v>
      </c>
      <c r="E19" t="s">
        <v>3755</v>
      </c>
    </row>
    <row r="20" spans="2:5">
      <c r="B20" t="s">
        <v>3700</v>
      </c>
      <c r="C20" t="s">
        <v>3685</v>
      </c>
      <c r="D20">
        <v>365.7</v>
      </c>
      <c r="E20" s="21">
        <f>Table11[[#This Row],[Market size]]/($C$11*1000)</f>
        <v>0.20430167597765361</v>
      </c>
    </row>
    <row r="21" spans="2:5">
      <c r="B21" t="s">
        <v>3701</v>
      </c>
      <c r="C21" t="s">
        <v>3686</v>
      </c>
      <c r="D21">
        <v>313.82</v>
      </c>
      <c r="E21" s="21">
        <f>Table11[[#This Row],[Market size]]/($C$11*1000)</f>
        <v>0.17531843575418993</v>
      </c>
    </row>
    <row r="22" spans="2:5">
      <c r="B22" t="s">
        <v>3701</v>
      </c>
      <c r="C22" t="s">
        <v>3687</v>
      </c>
      <c r="D22">
        <v>101.39</v>
      </c>
      <c r="E22" s="21">
        <f>Table11[[#This Row],[Market size]]/($C$11*1000)</f>
        <v>5.6642458100558658E-2</v>
      </c>
    </row>
    <row r="23" spans="2:5">
      <c r="B23" t="s">
        <v>3701</v>
      </c>
      <c r="C23" t="s">
        <v>3688</v>
      </c>
      <c r="D23">
        <v>87</v>
      </c>
      <c r="E23" s="21">
        <f>Table11[[#This Row],[Market size]]/($C$11*1000)</f>
        <v>4.860335195530726E-2</v>
      </c>
    </row>
    <row r="24" spans="2:5">
      <c r="B24" t="s">
        <v>3</v>
      </c>
      <c r="C24" t="s">
        <v>3689</v>
      </c>
      <c r="D24">
        <v>82.89</v>
      </c>
      <c r="E24" s="21">
        <f>Table11[[#This Row],[Market size]]/($C$11*1000)</f>
        <v>4.6307262569832405E-2</v>
      </c>
    </row>
    <row r="25" spans="2:5">
      <c r="B25" t="s">
        <v>3</v>
      </c>
      <c r="C25" t="s">
        <v>3690</v>
      </c>
      <c r="D25">
        <v>72.569999999999993</v>
      </c>
      <c r="E25" s="21">
        <f>Table11[[#This Row],[Market size]]/($C$11*1000)</f>
        <v>4.0541899441340776E-2</v>
      </c>
    </row>
    <row r="26" spans="2:5">
      <c r="B26" t="s">
        <v>3</v>
      </c>
      <c r="C26" t="s">
        <v>3691</v>
      </c>
      <c r="D26">
        <v>57.86</v>
      </c>
      <c r="E26" s="21">
        <f>Table11[[#This Row],[Market size]]/($C$11*1000)</f>
        <v>3.2324022346368712E-2</v>
      </c>
    </row>
    <row r="27" spans="2:5">
      <c r="B27" t="s">
        <v>3</v>
      </c>
      <c r="C27" t="s">
        <v>3692</v>
      </c>
      <c r="D27">
        <v>40.020000000000003</v>
      </c>
      <c r="E27" s="21">
        <f>Table11[[#This Row],[Market size]]/($C$11*1000)</f>
        <v>2.2357541899441342E-2</v>
      </c>
    </row>
    <row r="28" spans="2:5">
      <c r="B28" t="s">
        <v>3700</v>
      </c>
      <c r="C28" t="s">
        <v>3693</v>
      </c>
      <c r="D28">
        <v>39.71</v>
      </c>
      <c r="E28" s="21">
        <f>Table11[[#This Row],[Market size]]/($C$11*1000)</f>
        <v>2.218435754189944E-2</v>
      </c>
    </row>
    <row r="29" spans="2:5">
      <c r="B29" t="s">
        <v>3701</v>
      </c>
      <c r="C29" t="s">
        <v>3694</v>
      </c>
      <c r="D29">
        <v>39.06</v>
      </c>
      <c r="E29" s="21">
        <f>Table11[[#This Row],[Market size]]/($C$11*1000)</f>
        <v>2.182122905027933E-2</v>
      </c>
    </row>
    <row r="30" spans="2:5">
      <c r="B30" t="s">
        <v>3700</v>
      </c>
      <c r="C30" t="s">
        <v>3695</v>
      </c>
      <c r="D30">
        <v>30.99</v>
      </c>
      <c r="E30" s="21">
        <f>Table11[[#This Row],[Market size]]/($C$11*1000)</f>
        <v>1.7312849162011174E-2</v>
      </c>
    </row>
    <row r="31" spans="2:5">
      <c r="B31" t="s">
        <v>3701</v>
      </c>
      <c r="C31" t="s">
        <v>3696</v>
      </c>
      <c r="D31">
        <v>30.52</v>
      </c>
      <c r="E31" s="21">
        <f>Table11[[#This Row],[Market size]]/($C$11*1000)</f>
        <v>1.7050279329608939E-2</v>
      </c>
    </row>
    <row r="32" spans="2:5">
      <c r="B32" t="s">
        <v>3</v>
      </c>
      <c r="C32" t="s">
        <v>3697</v>
      </c>
      <c r="D32">
        <v>24.92</v>
      </c>
      <c r="E32" s="21">
        <f>Table11[[#This Row],[Market size]]/($C$11*1000)</f>
        <v>1.3921787709497207E-2</v>
      </c>
    </row>
    <row r="33" spans="1:5">
      <c r="A33" t="s">
        <v>3722</v>
      </c>
      <c r="B33" s="844" t="s">
        <v>3727</v>
      </c>
    </row>
    <row r="35" spans="1:5" ht="34">
      <c r="B35" s="851" t="s">
        <v>3724</v>
      </c>
    </row>
    <row r="36" spans="1:5">
      <c r="B36" t="s">
        <v>543</v>
      </c>
      <c r="C36" t="s">
        <v>3702</v>
      </c>
      <c r="D36" t="s">
        <v>3703</v>
      </c>
      <c r="E36" t="s">
        <v>3704</v>
      </c>
    </row>
    <row r="37" spans="1:5">
      <c r="B37">
        <v>2024</v>
      </c>
      <c r="C37">
        <v>930</v>
      </c>
      <c r="D37">
        <v>587.61</v>
      </c>
      <c r="E37">
        <v>274.25</v>
      </c>
    </row>
    <row r="38" spans="1:5">
      <c r="B38">
        <v>2027</v>
      </c>
      <c r="C38">
        <v>1009.81</v>
      </c>
      <c r="D38">
        <v>639.12</v>
      </c>
      <c r="E38">
        <v>294.82</v>
      </c>
    </row>
    <row r="39" spans="1:5">
      <c r="A39" t="s">
        <v>3722</v>
      </c>
      <c r="B39" s="844" t="s">
        <v>3727</v>
      </c>
    </row>
    <row r="41" spans="1:5" ht="34">
      <c r="B41" s="851" t="s">
        <v>3725</v>
      </c>
    </row>
    <row r="42" spans="1:5">
      <c r="B42" t="s">
        <v>3705</v>
      </c>
      <c r="C42" t="s">
        <v>3728</v>
      </c>
    </row>
    <row r="43" spans="1:5">
      <c r="B43" t="s">
        <v>3706</v>
      </c>
      <c r="C43">
        <v>655</v>
      </c>
    </row>
    <row r="44" spans="1:5">
      <c r="B44" t="s">
        <v>3707</v>
      </c>
      <c r="C44">
        <v>87</v>
      </c>
    </row>
    <row r="45" spans="1:5">
      <c r="B45" t="s">
        <v>3708</v>
      </c>
      <c r="C45">
        <v>208</v>
      </c>
    </row>
    <row r="46" spans="1:5">
      <c r="B46" t="s">
        <v>3709</v>
      </c>
      <c r="C46">
        <v>406</v>
      </c>
    </row>
    <row r="47" spans="1:5">
      <c r="B47" t="s">
        <v>3710</v>
      </c>
      <c r="C47">
        <v>96</v>
      </c>
    </row>
    <row r="48" spans="1:5">
      <c r="B48" t="s">
        <v>3711</v>
      </c>
      <c r="C48">
        <v>147</v>
      </c>
    </row>
    <row r="49" spans="1:13">
      <c r="A49" t="s">
        <v>3722</v>
      </c>
      <c r="B49" s="844" t="s">
        <v>3729</v>
      </c>
    </row>
    <row r="51" spans="1:13" ht="34">
      <c r="B51" s="851" t="s">
        <v>3726</v>
      </c>
    </row>
    <row r="52" spans="1:13" s="848" customFormat="1" ht="18">
      <c r="B52" s="849" t="s">
        <v>543</v>
      </c>
      <c r="C52" s="849" t="s">
        <v>3712</v>
      </c>
      <c r="D52" s="849" t="s">
        <v>3713</v>
      </c>
      <c r="E52" s="849" t="s">
        <v>3714</v>
      </c>
      <c r="F52" s="849" t="s">
        <v>3715</v>
      </c>
      <c r="G52" s="849" t="s">
        <v>3716</v>
      </c>
      <c r="H52" s="849" t="s">
        <v>3717</v>
      </c>
      <c r="I52" s="849" t="s">
        <v>3708</v>
      </c>
      <c r="J52" s="849" t="s">
        <v>3711</v>
      </c>
      <c r="K52" s="849" t="s">
        <v>3718</v>
      </c>
      <c r="L52" s="849" t="s">
        <v>3719</v>
      </c>
      <c r="M52" s="849" t="s">
        <v>3720</v>
      </c>
    </row>
    <row r="53" spans="1:13" ht="18">
      <c r="B53" s="845">
        <v>1978</v>
      </c>
      <c r="C53" s="847">
        <v>65.2</v>
      </c>
      <c r="D53" s="847">
        <v>81.400000000000006</v>
      </c>
      <c r="E53" s="847">
        <v>92.7</v>
      </c>
      <c r="F53" s="847">
        <v>91.4</v>
      </c>
      <c r="G53" s="847">
        <v>84.2</v>
      </c>
      <c r="H53" s="847">
        <v>80.900000000000006</v>
      </c>
      <c r="I53" s="847">
        <v>81.7</v>
      </c>
      <c r="J53" s="847">
        <v>76.7</v>
      </c>
      <c r="K53" s="847">
        <v>77.8</v>
      </c>
      <c r="L53" s="847">
        <v>0</v>
      </c>
      <c r="M53" s="847">
        <v>0</v>
      </c>
    </row>
    <row r="54" spans="1:13" ht="18">
      <c r="B54" s="845">
        <v>1979</v>
      </c>
      <c r="C54" s="847">
        <v>72.599999999999994</v>
      </c>
      <c r="D54" s="847">
        <v>84.9</v>
      </c>
      <c r="E54" s="847">
        <v>94.4</v>
      </c>
      <c r="F54" s="847">
        <v>92.6</v>
      </c>
      <c r="G54" s="847">
        <v>85.5</v>
      </c>
      <c r="H54" s="847">
        <v>84.6</v>
      </c>
      <c r="I54" s="847">
        <v>86.9</v>
      </c>
      <c r="J54" s="847">
        <v>84.1</v>
      </c>
      <c r="K54" s="847">
        <v>84.2</v>
      </c>
      <c r="L54" s="847">
        <v>0</v>
      </c>
      <c r="M54" s="847">
        <v>0</v>
      </c>
    </row>
    <row r="55" spans="1:13" ht="18">
      <c r="B55" s="845">
        <v>1980</v>
      </c>
      <c r="C55" s="847">
        <v>82.4</v>
      </c>
      <c r="D55" s="847">
        <v>90.9</v>
      </c>
      <c r="E55" s="847">
        <v>96</v>
      </c>
      <c r="F55" s="847">
        <v>95.9</v>
      </c>
      <c r="G55" s="847">
        <v>89.3</v>
      </c>
      <c r="H55" s="847">
        <v>89.8</v>
      </c>
      <c r="I55" s="847">
        <v>92.2</v>
      </c>
      <c r="J55" s="847">
        <v>90.5</v>
      </c>
      <c r="K55" s="847">
        <v>93</v>
      </c>
      <c r="L55" s="847">
        <v>0</v>
      </c>
      <c r="M55" s="847">
        <v>0</v>
      </c>
    </row>
    <row r="56" spans="1:13" ht="18">
      <c r="B56" s="845">
        <v>1981</v>
      </c>
      <c r="C56" s="847">
        <v>90.9</v>
      </c>
      <c r="D56" s="847">
        <v>95.3</v>
      </c>
      <c r="E56" s="847">
        <v>97.2</v>
      </c>
      <c r="F56" s="847">
        <v>99.4</v>
      </c>
      <c r="G56" s="847">
        <v>94.1</v>
      </c>
      <c r="H56" s="847">
        <v>94.3</v>
      </c>
      <c r="I56" s="847">
        <v>96.8</v>
      </c>
      <c r="J56" s="847">
        <v>95.2</v>
      </c>
      <c r="K56" s="847">
        <v>98.3</v>
      </c>
      <c r="L56" s="847">
        <v>0</v>
      </c>
      <c r="M56" s="847">
        <v>0</v>
      </c>
    </row>
    <row r="57" spans="1:13" ht="18">
      <c r="B57" s="845">
        <v>1982</v>
      </c>
      <c r="C57" s="847">
        <v>96.5</v>
      </c>
      <c r="D57" s="847">
        <v>97.8</v>
      </c>
      <c r="E57" s="847">
        <v>98.3</v>
      </c>
      <c r="F57" s="847">
        <v>99.4</v>
      </c>
      <c r="G57" s="847">
        <v>97.8</v>
      </c>
      <c r="H57" s="847">
        <v>97.1</v>
      </c>
      <c r="I57" s="847">
        <v>99.9</v>
      </c>
      <c r="J57" s="847">
        <v>98.4</v>
      </c>
      <c r="K57" s="847">
        <v>99</v>
      </c>
      <c r="L57" s="847">
        <v>0</v>
      </c>
      <c r="M57" s="847">
        <v>0</v>
      </c>
    </row>
    <row r="58" spans="1:13" ht="18">
      <c r="B58" s="845">
        <v>1983</v>
      </c>
      <c r="C58" s="847">
        <v>99.6</v>
      </c>
      <c r="D58" s="847">
        <v>100.2</v>
      </c>
      <c r="E58" s="847">
        <v>100.1</v>
      </c>
      <c r="F58" s="847">
        <v>100.3</v>
      </c>
      <c r="G58" s="847">
        <v>100.2</v>
      </c>
      <c r="H58" s="847">
        <v>100.6</v>
      </c>
      <c r="I58" s="847">
        <v>100</v>
      </c>
      <c r="J58" s="847">
        <v>99.6</v>
      </c>
      <c r="K58" s="847">
        <v>99.7</v>
      </c>
      <c r="L58" s="847">
        <v>0</v>
      </c>
      <c r="M58" s="847">
        <v>0</v>
      </c>
    </row>
    <row r="59" spans="1:13" ht="18">
      <c r="B59" s="845">
        <v>1984</v>
      </c>
      <c r="C59" s="847">
        <v>103.9</v>
      </c>
      <c r="D59" s="847">
        <v>102.1</v>
      </c>
      <c r="E59" s="847">
        <v>101.5</v>
      </c>
      <c r="F59" s="847">
        <v>100.3</v>
      </c>
      <c r="G59" s="847">
        <v>102.1</v>
      </c>
      <c r="H59" s="847">
        <v>102.3</v>
      </c>
      <c r="I59" s="847">
        <v>100.2</v>
      </c>
      <c r="J59" s="847">
        <v>101.9</v>
      </c>
      <c r="K59" s="847">
        <v>101.2</v>
      </c>
      <c r="L59" s="847">
        <v>0</v>
      </c>
      <c r="M59" s="847">
        <v>0</v>
      </c>
    </row>
    <row r="60" spans="1:13" ht="18">
      <c r="B60" s="845">
        <v>1985</v>
      </c>
      <c r="C60" s="847">
        <v>107.6</v>
      </c>
      <c r="D60" s="847">
        <v>105</v>
      </c>
      <c r="E60" s="847">
        <v>105.3</v>
      </c>
      <c r="F60" s="847">
        <v>103.2</v>
      </c>
      <c r="G60" s="847">
        <v>105.1</v>
      </c>
      <c r="H60" s="847">
        <v>104.8</v>
      </c>
      <c r="I60" s="847">
        <v>100.9</v>
      </c>
      <c r="J60" s="847">
        <v>103.9</v>
      </c>
      <c r="K60" s="847">
        <v>102.4</v>
      </c>
      <c r="L60" s="847">
        <v>0</v>
      </c>
      <c r="M60" s="847">
        <v>0</v>
      </c>
    </row>
    <row r="61" spans="1:13" ht="18">
      <c r="B61" s="845">
        <v>1986</v>
      </c>
      <c r="C61" s="847">
        <v>109.6</v>
      </c>
      <c r="D61" s="847">
        <v>105.9</v>
      </c>
      <c r="E61" s="847">
        <v>104.4</v>
      </c>
      <c r="F61" s="847">
        <v>102</v>
      </c>
      <c r="G61" s="847">
        <v>106.4</v>
      </c>
      <c r="H61" s="847">
        <v>105.2</v>
      </c>
      <c r="I61" s="847">
        <v>98.5</v>
      </c>
      <c r="J61" s="847">
        <v>106</v>
      </c>
      <c r="K61" s="847">
        <v>102</v>
      </c>
      <c r="L61" s="847">
        <v>0</v>
      </c>
      <c r="M61" s="847">
        <v>0</v>
      </c>
    </row>
    <row r="62" spans="1:13" ht="18">
      <c r="B62" s="845">
        <v>1987</v>
      </c>
      <c r="C62" s="847">
        <v>113.6</v>
      </c>
      <c r="D62" s="847">
        <v>110.6</v>
      </c>
      <c r="E62" s="847">
        <v>110.9</v>
      </c>
      <c r="F62" s="847">
        <v>107.6</v>
      </c>
      <c r="G62" s="847">
        <v>110.4</v>
      </c>
      <c r="H62" s="847">
        <v>103.9</v>
      </c>
      <c r="I62" s="847">
        <v>101</v>
      </c>
      <c r="J62" s="847">
        <v>109.7</v>
      </c>
      <c r="K62" s="847">
        <v>105.6</v>
      </c>
      <c r="L62" s="847">
        <v>107.3</v>
      </c>
      <c r="M62" s="847">
        <v>102.4</v>
      </c>
    </row>
    <row r="63" spans="1:13" ht="18">
      <c r="B63" s="845">
        <v>1988</v>
      </c>
      <c r="C63" s="847">
        <v>118.3</v>
      </c>
      <c r="D63" s="847">
        <v>115.4</v>
      </c>
      <c r="E63" s="847">
        <v>115.3</v>
      </c>
      <c r="F63" s="847">
        <v>112.6</v>
      </c>
      <c r="G63" s="847">
        <v>114.9</v>
      </c>
      <c r="H63" s="847">
        <v>107</v>
      </c>
      <c r="I63" s="847">
        <v>104.5</v>
      </c>
      <c r="J63" s="847">
        <v>116.2</v>
      </c>
      <c r="K63" s="847">
        <v>111.1</v>
      </c>
      <c r="L63" s="847">
        <v>116.6</v>
      </c>
      <c r="M63" s="847">
        <v>106.1</v>
      </c>
    </row>
    <row r="64" spans="1:13" ht="18">
      <c r="B64" s="845">
        <v>1989</v>
      </c>
      <c r="C64" s="847">
        <v>124</v>
      </c>
      <c r="D64" s="847">
        <v>118.6</v>
      </c>
      <c r="E64" s="847">
        <v>116.6</v>
      </c>
      <c r="F64" s="847">
        <v>115.5</v>
      </c>
      <c r="G64" s="847">
        <v>119.1</v>
      </c>
      <c r="H64" s="847">
        <v>108</v>
      </c>
      <c r="I64" s="847">
        <v>109</v>
      </c>
      <c r="J64" s="847">
        <v>120.3</v>
      </c>
      <c r="K64" s="847">
        <v>115.5</v>
      </c>
      <c r="L64" s="847">
        <v>124.5</v>
      </c>
      <c r="M64" s="847">
        <v>108.8</v>
      </c>
    </row>
    <row r="65" spans="2:13" ht="18">
      <c r="B65" s="845">
        <v>1990</v>
      </c>
      <c r="C65" s="847">
        <v>130.69999999999999</v>
      </c>
      <c r="D65" s="847">
        <v>124.1</v>
      </c>
      <c r="E65" s="847">
        <v>122.9</v>
      </c>
      <c r="F65" s="847">
        <v>120.7</v>
      </c>
      <c r="G65" s="847">
        <v>123.1</v>
      </c>
      <c r="H65" s="847">
        <v>109</v>
      </c>
      <c r="I65" s="847">
        <v>110.6</v>
      </c>
      <c r="J65" s="847">
        <v>124.5</v>
      </c>
      <c r="K65" s="847">
        <v>120</v>
      </c>
      <c r="L65" s="847">
        <v>136.9</v>
      </c>
      <c r="M65" s="847">
        <v>110.1</v>
      </c>
    </row>
    <row r="66" spans="2:13" ht="18">
      <c r="B66" s="845">
        <v>1991</v>
      </c>
      <c r="C66" s="847">
        <v>136.19999999999999</v>
      </c>
      <c r="D66" s="847">
        <v>128.69999999999999</v>
      </c>
      <c r="E66" s="847">
        <v>127.6</v>
      </c>
      <c r="F66" s="847">
        <v>127.8</v>
      </c>
      <c r="G66" s="847">
        <v>127</v>
      </c>
      <c r="H66" s="847">
        <v>112.6</v>
      </c>
      <c r="I66" s="847">
        <v>114.6</v>
      </c>
      <c r="J66" s="847">
        <v>128.9</v>
      </c>
      <c r="K66" s="847">
        <v>121.3</v>
      </c>
      <c r="L66" s="847">
        <v>144</v>
      </c>
      <c r="M66" s="847">
        <v>114.9</v>
      </c>
    </row>
    <row r="67" spans="2:13" ht="18">
      <c r="B67" s="845">
        <v>1992</v>
      </c>
      <c r="C67" s="847">
        <v>140.30000000000001</v>
      </c>
      <c r="D67" s="847">
        <v>131.9</v>
      </c>
      <c r="E67" s="847">
        <v>130.1</v>
      </c>
      <c r="F67" s="847">
        <v>132.30000000000001</v>
      </c>
      <c r="G67" s="847">
        <v>129.1</v>
      </c>
      <c r="H67" s="847">
        <v>115.8</v>
      </c>
      <c r="I67" s="847">
        <v>119.7</v>
      </c>
      <c r="J67" s="847">
        <v>133.1</v>
      </c>
      <c r="K67" s="847">
        <v>122.3</v>
      </c>
      <c r="L67" s="847">
        <v>150.6</v>
      </c>
      <c r="M67" s="847">
        <v>116.1</v>
      </c>
    </row>
    <row r="68" spans="2:13" ht="18">
      <c r="B68" s="845">
        <v>1993</v>
      </c>
      <c r="C68" s="847">
        <v>144.5</v>
      </c>
      <c r="D68" s="847">
        <v>133.69999999999999</v>
      </c>
      <c r="E68" s="847">
        <v>132.69999999999999</v>
      </c>
      <c r="F68" s="847">
        <v>131.9</v>
      </c>
      <c r="G68" s="847">
        <v>129.80000000000001</v>
      </c>
      <c r="H68" s="847">
        <v>117.6</v>
      </c>
      <c r="I68" s="847">
        <v>122</v>
      </c>
      <c r="J68" s="847">
        <v>132.69999999999999</v>
      </c>
      <c r="K68" s="847">
        <v>122</v>
      </c>
      <c r="L68" s="847">
        <v>154.4</v>
      </c>
      <c r="M68" s="847">
        <v>118.8</v>
      </c>
    </row>
    <row r="69" spans="2:13" ht="18">
      <c r="B69" s="845">
        <v>1994</v>
      </c>
      <c r="C69" s="847">
        <v>148.19999999999999</v>
      </c>
      <c r="D69" s="847">
        <v>133.4</v>
      </c>
      <c r="E69" s="847">
        <v>131</v>
      </c>
      <c r="F69" s="847">
        <v>130.80000000000001</v>
      </c>
      <c r="G69" s="847">
        <v>129</v>
      </c>
      <c r="H69" s="847">
        <v>115.4</v>
      </c>
      <c r="I69" s="847">
        <v>120.4</v>
      </c>
      <c r="J69" s="847">
        <v>133.19999999999999</v>
      </c>
      <c r="K69" s="847">
        <v>125.6</v>
      </c>
      <c r="L69" s="847">
        <v>158.6</v>
      </c>
      <c r="M69" s="847">
        <v>124.5</v>
      </c>
    </row>
    <row r="70" spans="2:13" ht="18">
      <c r="B70" s="845">
        <v>1995</v>
      </c>
      <c r="C70" s="847">
        <v>152.4</v>
      </c>
      <c r="D70" s="847">
        <v>132</v>
      </c>
      <c r="E70" s="847">
        <v>126.7</v>
      </c>
      <c r="F70" s="847">
        <v>128.5</v>
      </c>
      <c r="G70" s="847">
        <v>128.4</v>
      </c>
      <c r="H70" s="847">
        <v>117</v>
      </c>
      <c r="I70" s="847">
        <v>119.4</v>
      </c>
      <c r="J70" s="847">
        <v>134.4</v>
      </c>
      <c r="K70" s="847">
        <v>123.5</v>
      </c>
      <c r="L70" s="847">
        <v>159.30000000000001</v>
      </c>
      <c r="M70" s="847">
        <v>129.1</v>
      </c>
    </row>
    <row r="71" spans="2:13" ht="18">
      <c r="B71" s="845">
        <v>1996</v>
      </c>
      <c r="C71" s="847">
        <v>156.9</v>
      </c>
      <c r="D71" s="847">
        <v>131.69999999999999</v>
      </c>
      <c r="E71" s="847">
        <v>124.3</v>
      </c>
      <c r="F71" s="847">
        <v>127.2</v>
      </c>
      <c r="G71" s="847">
        <v>130.5</v>
      </c>
      <c r="H71" s="847">
        <v>116.1</v>
      </c>
      <c r="I71" s="847">
        <v>121</v>
      </c>
      <c r="J71" s="847">
        <v>132</v>
      </c>
      <c r="K71" s="847">
        <v>128.9</v>
      </c>
      <c r="L71" s="847">
        <v>155.30000000000001</v>
      </c>
      <c r="M71" s="847">
        <v>129.80000000000001</v>
      </c>
    </row>
    <row r="72" spans="2:13" ht="18">
      <c r="B72" s="845">
        <v>1997</v>
      </c>
      <c r="C72" s="847">
        <v>160.5</v>
      </c>
      <c r="D72" s="847">
        <v>132.9</v>
      </c>
      <c r="E72" s="847">
        <v>126.1</v>
      </c>
      <c r="F72" s="847">
        <v>126.3</v>
      </c>
      <c r="G72" s="847">
        <v>133.1</v>
      </c>
      <c r="H72" s="847">
        <v>117.6</v>
      </c>
      <c r="I72" s="847">
        <v>122</v>
      </c>
      <c r="J72" s="847">
        <v>132.1</v>
      </c>
      <c r="K72" s="847">
        <v>131</v>
      </c>
      <c r="L72" s="847">
        <v>150.69999999999999</v>
      </c>
      <c r="M72" s="847">
        <v>126.7</v>
      </c>
    </row>
    <row r="73" spans="2:13" ht="18">
      <c r="B73" s="845">
        <v>1998</v>
      </c>
      <c r="C73" s="847">
        <v>163</v>
      </c>
      <c r="D73" s="847">
        <v>133</v>
      </c>
      <c r="E73" s="847">
        <v>126.4</v>
      </c>
      <c r="F73" s="847">
        <v>124</v>
      </c>
      <c r="G73" s="847">
        <v>134.9</v>
      </c>
      <c r="H73" s="847">
        <v>119.2</v>
      </c>
      <c r="I73" s="847">
        <v>123.1</v>
      </c>
      <c r="J73" s="847">
        <v>131.80000000000001</v>
      </c>
      <c r="K73" s="847">
        <v>131.4</v>
      </c>
      <c r="L73" s="847">
        <v>147.69999999999999</v>
      </c>
      <c r="M73" s="847">
        <v>123.5</v>
      </c>
    </row>
    <row r="74" spans="2:13" ht="18">
      <c r="B74" s="845">
        <v>1999</v>
      </c>
      <c r="C74" s="847">
        <v>166.6</v>
      </c>
      <c r="D74" s="847">
        <v>131.30000000000001</v>
      </c>
      <c r="E74" s="847">
        <v>123.7</v>
      </c>
      <c r="F74" s="847">
        <v>121.2</v>
      </c>
      <c r="G74" s="847">
        <v>134.5</v>
      </c>
      <c r="H74" s="847">
        <v>117.4</v>
      </c>
      <c r="I74" s="847">
        <v>121.5</v>
      </c>
      <c r="J74" s="847">
        <v>129.5</v>
      </c>
      <c r="K74" s="847">
        <v>127.7</v>
      </c>
      <c r="L74" s="847">
        <v>145.80000000000001</v>
      </c>
      <c r="M74" s="847">
        <v>122.3</v>
      </c>
    </row>
    <row r="75" spans="2:13" ht="18">
      <c r="B75" s="845">
        <v>2000</v>
      </c>
      <c r="C75" s="847">
        <v>172.2</v>
      </c>
      <c r="D75" s="847">
        <v>129.6</v>
      </c>
      <c r="E75" s="847">
        <v>121.9</v>
      </c>
      <c r="F75" s="847">
        <v>119.7</v>
      </c>
      <c r="G75" s="847">
        <v>133.1</v>
      </c>
      <c r="H75" s="847">
        <v>116.2</v>
      </c>
      <c r="I75" s="847">
        <v>119.6</v>
      </c>
      <c r="J75" s="847">
        <v>129.5</v>
      </c>
      <c r="K75" s="847">
        <v>123.2</v>
      </c>
      <c r="L75" s="847">
        <v>141.19999999999999</v>
      </c>
      <c r="M75" s="847">
        <v>122.2</v>
      </c>
    </row>
    <row r="76" spans="2:13" ht="18">
      <c r="B76" s="845">
        <v>2001</v>
      </c>
      <c r="C76" s="847">
        <v>177.1</v>
      </c>
      <c r="D76" s="847">
        <v>127.3</v>
      </c>
      <c r="E76" s="847">
        <v>119.9</v>
      </c>
      <c r="F76" s="847">
        <v>116.4</v>
      </c>
      <c r="G76" s="847">
        <v>128.9</v>
      </c>
      <c r="H76" s="847">
        <v>112.9</v>
      </c>
      <c r="I76" s="847">
        <v>120.9</v>
      </c>
      <c r="J76" s="847">
        <v>125.6</v>
      </c>
      <c r="K76" s="847">
        <v>122.4</v>
      </c>
      <c r="L76" s="847">
        <v>141.69999999999999</v>
      </c>
      <c r="M76" s="847">
        <v>120.1</v>
      </c>
    </row>
    <row r="77" spans="2:13" ht="18">
      <c r="B77" s="845">
        <v>2002</v>
      </c>
      <c r="C77" s="847">
        <v>179.9</v>
      </c>
      <c r="D77" s="847">
        <v>124</v>
      </c>
      <c r="E77" s="847">
        <v>116.1</v>
      </c>
      <c r="F77" s="847">
        <v>114.6</v>
      </c>
      <c r="G77" s="847">
        <v>125.7</v>
      </c>
      <c r="H77" s="847">
        <v>106.9</v>
      </c>
      <c r="I77" s="847">
        <v>119</v>
      </c>
      <c r="J77" s="847">
        <v>125.9</v>
      </c>
      <c r="K77" s="847">
        <v>118</v>
      </c>
      <c r="L77" s="847">
        <v>138.1</v>
      </c>
      <c r="M77" s="847">
        <v>115.7</v>
      </c>
    </row>
    <row r="78" spans="2:13" ht="18">
      <c r="B78" s="845">
        <v>2003</v>
      </c>
      <c r="C78" s="847">
        <v>184</v>
      </c>
      <c r="D78" s="847">
        <v>120.9</v>
      </c>
      <c r="E78" s="847">
        <v>113.1</v>
      </c>
      <c r="F78" s="847">
        <v>112.6</v>
      </c>
      <c r="G78" s="847">
        <v>122.1</v>
      </c>
      <c r="H78" s="847">
        <v>102.6</v>
      </c>
      <c r="I78" s="847">
        <v>118.4</v>
      </c>
      <c r="J78" s="847">
        <v>120.7</v>
      </c>
      <c r="K78" s="847">
        <v>118.6</v>
      </c>
      <c r="L78" s="847">
        <v>133.19999999999999</v>
      </c>
      <c r="M78" s="847">
        <v>112.6</v>
      </c>
    </row>
    <row r="79" spans="2:13" ht="18">
      <c r="B79" s="845">
        <v>2004</v>
      </c>
      <c r="C79" s="847">
        <v>188.9</v>
      </c>
      <c r="D79" s="847">
        <v>120.4</v>
      </c>
      <c r="E79" s="847">
        <v>113.3</v>
      </c>
      <c r="F79" s="847">
        <v>111.4</v>
      </c>
      <c r="G79" s="847">
        <v>121.4</v>
      </c>
      <c r="H79" s="847">
        <v>102.6</v>
      </c>
      <c r="I79" s="847">
        <v>118.4</v>
      </c>
      <c r="J79" s="847">
        <v>119.7</v>
      </c>
      <c r="K79" s="847">
        <v>118.6</v>
      </c>
      <c r="L79" s="847">
        <v>133.6</v>
      </c>
      <c r="M79" s="847">
        <v>115</v>
      </c>
    </row>
    <row r="80" spans="2:13" ht="18">
      <c r="B80" s="845">
        <v>2005</v>
      </c>
      <c r="C80" s="847">
        <v>195.3</v>
      </c>
      <c r="D80" s="847">
        <v>119.5</v>
      </c>
      <c r="E80" s="847">
        <v>111.8</v>
      </c>
      <c r="F80" s="847">
        <v>105.3</v>
      </c>
      <c r="G80" s="847">
        <v>121.4</v>
      </c>
      <c r="H80" s="847">
        <v>97</v>
      </c>
      <c r="I80" s="847">
        <v>121.9</v>
      </c>
      <c r="J80" s="847">
        <v>121.3</v>
      </c>
      <c r="K80" s="847">
        <v>124.4</v>
      </c>
      <c r="L80" s="847">
        <v>131.30000000000001</v>
      </c>
      <c r="M80" s="847">
        <v>115.2</v>
      </c>
    </row>
    <row r="81" spans="2:13" ht="18">
      <c r="B81" s="845">
        <v>2006</v>
      </c>
      <c r="C81" s="847">
        <v>201.6</v>
      </c>
      <c r="D81" s="847">
        <v>119.5</v>
      </c>
      <c r="E81" s="847">
        <v>112.5</v>
      </c>
      <c r="F81" s="847">
        <v>101.6</v>
      </c>
      <c r="G81" s="847">
        <v>119.8</v>
      </c>
      <c r="H81" s="847">
        <v>93.7</v>
      </c>
      <c r="I81" s="847">
        <v>122.8</v>
      </c>
      <c r="J81" s="847">
        <v>123.5</v>
      </c>
      <c r="K81" s="847">
        <v>123.3</v>
      </c>
      <c r="L81" s="847">
        <v>134.80000000000001</v>
      </c>
      <c r="M81" s="847">
        <v>116.8</v>
      </c>
    </row>
    <row r="82" spans="2:13" ht="18">
      <c r="B82" s="845">
        <v>2007</v>
      </c>
      <c r="C82" s="846">
        <v>207.34200000000001</v>
      </c>
      <c r="D82" s="846">
        <v>118.998</v>
      </c>
      <c r="E82" s="846">
        <v>112.06399999999999</v>
      </c>
      <c r="F82" s="846">
        <v>101.104</v>
      </c>
      <c r="G82" s="846">
        <v>118.176</v>
      </c>
      <c r="H82" s="846">
        <v>91.686999999999998</v>
      </c>
      <c r="I82" s="846">
        <v>122.465</v>
      </c>
      <c r="J82" s="846">
        <v>120.879</v>
      </c>
      <c r="K82" s="846">
        <v>122.41800000000001</v>
      </c>
      <c r="L82" s="846">
        <v>142.44200000000001</v>
      </c>
      <c r="M82" s="846">
        <v>116.744</v>
      </c>
    </row>
    <row r="83" spans="2:13" ht="18">
      <c r="B83" s="845">
        <v>2008</v>
      </c>
      <c r="C83" s="846">
        <v>215.303</v>
      </c>
      <c r="D83" s="846">
        <v>118.907</v>
      </c>
      <c r="E83" s="846">
        <v>109.273</v>
      </c>
      <c r="F83" s="846">
        <v>98.491</v>
      </c>
      <c r="G83" s="846">
        <v>118.38</v>
      </c>
      <c r="H83" s="846">
        <v>93.468000000000004</v>
      </c>
      <c r="I83" s="846">
        <v>122.562</v>
      </c>
      <c r="J83" s="846">
        <v>122.932</v>
      </c>
      <c r="K83" s="846">
        <v>127.548</v>
      </c>
      <c r="L83" s="846">
        <v>153.77000000000001</v>
      </c>
      <c r="M83" s="846">
        <v>116.70699999999999</v>
      </c>
    </row>
    <row r="84" spans="2:13" ht="18">
      <c r="B84" s="845">
        <v>2009</v>
      </c>
      <c r="C84" s="846">
        <v>214.53700000000001</v>
      </c>
      <c r="D84" s="846">
        <v>120.078</v>
      </c>
      <c r="E84" s="846">
        <v>109.928</v>
      </c>
      <c r="F84" s="846">
        <v>99.01</v>
      </c>
      <c r="G84" s="846">
        <v>118.608</v>
      </c>
      <c r="H84" s="846">
        <v>95.182000000000002</v>
      </c>
      <c r="I84" s="846">
        <v>123.396</v>
      </c>
      <c r="J84" s="846">
        <v>126.425</v>
      </c>
      <c r="K84" s="846">
        <v>133.26300000000001</v>
      </c>
      <c r="L84" s="846">
        <v>156.97999999999999</v>
      </c>
      <c r="M84" s="846">
        <v>116.622</v>
      </c>
    </row>
    <row r="85" spans="2:13" ht="18">
      <c r="B85" s="845">
        <v>2010</v>
      </c>
      <c r="C85" s="846">
        <v>218.05600000000001</v>
      </c>
      <c r="D85" s="846">
        <v>119.503</v>
      </c>
      <c r="E85" s="846">
        <v>109.489</v>
      </c>
      <c r="F85" s="846">
        <v>95.376000000000005</v>
      </c>
      <c r="G85" s="846">
        <v>117.49299999999999</v>
      </c>
      <c r="H85" s="846">
        <v>91.518000000000001</v>
      </c>
      <c r="I85" s="846">
        <v>125.29300000000001</v>
      </c>
      <c r="J85" s="846">
        <v>127.556</v>
      </c>
      <c r="K85" s="846">
        <v>132.60400000000001</v>
      </c>
      <c r="L85" s="846">
        <v>161.239</v>
      </c>
      <c r="M85" s="846">
        <v>114.997</v>
      </c>
    </row>
    <row r="86" spans="2:13" ht="18">
      <c r="B86" s="845">
        <v>2011</v>
      </c>
      <c r="C86" s="846">
        <v>224.93899999999999</v>
      </c>
      <c r="D86" s="846">
        <v>122.111</v>
      </c>
      <c r="E86" s="846">
        <v>111.348</v>
      </c>
      <c r="F86" s="846">
        <v>98.486999999999995</v>
      </c>
      <c r="G86" s="846">
        <v>119.76300000000001</v>
      </c>
      <c r="H86" s="846">
        <v>95.921999999999997</v>
      </c>
      <c r="I86" s="846">
        <v>123.661</v>
      </c>
      <c r="J86" s="846">
        <v>129.191</v>
      </c>
      <c r="K86" s="846">
        <v>136.184</v>
      </c>
      <c r="L86" s="846">
        <v>176.572</v>
      </c>
      <c r="M86" s="846">
        <v>116.67100000000001</v>
      </c>
    </row>
    <row r="87" spans="2:13" ht="18">
      <c r="B87" s="845">
        <v>2012</v>
      </c>
      <c r="C87" s="846">
        <v>229.59399999999999</v>
      </c>
      <c r="D87" s="846">
        <v>126.265</v>
      </c>
      <c r="E87" s="846">
        <v>115.002</v>
      </c>
      <c r="F87" s="846">
        <v>103.16</v>
      </c>
      <c r="G87" s="846">
        <v>124.33199999999999</v>
      </c>
      <c r="H87" s="846">
        <v>101.48099999999999</v>
      </c>
      <c r="I87" s="846">
        <v>127.188</v>
      </c>
      <c r="J87" s="846">
        <v>133.423</v>
      </c>
      <c r="K87" s="846">
        <v>137.57499999999999</v>
      </c>
      <c r="L87" s="846">
        <v>178.23099999999999</v>
      </c>
      <c r="M87" s="846">
        <v>118.312</v>
      </c>
    </row>
    <row r="88" spans="2:13" ht="18">
      <c r="B88" s="845">
        <v>2013</v>
      </c>
      <c r="C88" s="846">
        <v>232.95699999999999</v>
      </c>
      <c r="D88" s="846">
        <v>127.411</v>
      </c>
      <c r="E88" s="846">
        <v>116.223</v>
      </c>
      <c r="F88" s="846">
        <v>99.56</v>
      </c>
      <c r="G88" s="846">
        <v>126.67400000000001</v>
      </c>
      <c r="H88" s="846">
        <v>102.619</v>
      </c>
      <c r="I88" s="846">
        <v>130.374</v>
      </c>
      <c r="J88" s="846">
        <v>136.76499999999999</v>
      </c>
      <c r="K88" s="846">
        <v>140.44499999999999</v>
      </c>
      <c r="L88" s="846">
        <v>177.60599999999999</v>
      </c>
      <c r="M88" s="846">
        <v>121.569</v>
      </c>
    </row>
    <row r="89" spans="2:13" ht="18">
      <c r="B89" s="845">
        <v>2014</v>
      </c>
      <c r="C89" s="846">
        <v>236.73599999999999</v>
      </c>
      <c r="D89" s="846">
        <v>127.514</v>
      </c>
      <c r="E89" s="846">
        <v>117.589</v>
      </c>
      <c r="F89" s="846">
        <v>99.022999999999996</v>
      </c>
      <c r="G89" s="846">
        <v>124.97</v>
      </c>
      <c r="H89" s="846">
        <v>103.905</v>
      </c>
      <c r="I89" s="846">
        <v>127.97199999999999</v>
      </c>
      <c r="J89" s="846">
        <v>138.03299999999999</v>
      </c>
      <c r="K89" s="846">
        <v>146.32900000000001</v>
      </c>
      <c r="L89" s="846">
        <v>170.583</v>
      </c>
      <c r="M89" s="846">
        <v>122.202</v>
      </c>
    </row>
    <row r="90" spans="2:13" ht="18">
      <c r="B90" s="845">
        <v>2015</v>
      </c>
      <c r="C90" s="846">
        <v>237.017</v>
      </c>
      <c r="D90" s="846">
        <v>125.90300000000001</v>
      </c>
      <c r="E90" s="846">
        <v>114.411</v>
      </c>
      <c r="F90" s="846">
        <v>96.028999999999996</v>
      </c>
      <c r="G90" s="846">
        <v>123.95</v>
      </c>
      <c r="H90" s="846">
        <v>103.04600000000001</v>
      </c>
      <c r="I90" s="846">
        <v>128.88399999999999</v>
      </c>
      <c r="J90" s="846">
        <v>137.86000000000001</v>
      </c>
      <c r="K90" s="846">
        <v>150.64699999999999</v>
      </c>
      <c r="L90" s="846">
        <v>165.52099999999999</v>
      </c>
      <c r="M90" s="846">
        <v>123.188</v>
      </c>
    </row>
    <row r="91" spans="2:13" ht="18">
      <c r="B91" s="845">
        <v>2016</v>
      </c>
      <c r="C91" s="846">
        <v>240.00700000000001</v>
      </c>
      <c r="D91" s="846">
        <v>126.045</v>
      </c>
      <c r="E91" s="846">
        <v>114.577</v>
      </c>
      <c r="F91" s="846">
        <v>95.55</v>
      </c>
      <c r="G91" s="846">
        <v>122.63500000000001</v>
      </c>
      <c r="H91" s="846">
        <v>103.83499999999999</v>
      </c>
      <c r="I91" s="846">
        <v>128.60400000000001</v>
      </c>
      <c r="J91" s="846">
        <v>138.79900000000001</v>
      </c>
      <c r="K91" s="846">
        <v>152.28800000000001</v>
      </c>
      <c r="L91" s="846">
        <v>175.83600000000001</v>
      </c>
      <c r="M91" s="846">
        <v>129.55000000000001</v>
      </c>
    </row>
    <row r="92" spans="2:13" ht="18">
      <c r="B92" s="845">
        <v>2017</v>
      </c>
      <c r="C92" s="846">
        <v>245.12</v>
      </c>
      <c r="D92" s="846">
        <v>125.61199999999999</v>
      </c>
      <c r="E92" s="846">
        <v>114.242</v>
      </c>
      <c r="F92" s="846">
        <v>95.835999999999999</v>
      </c>
      <c r="G92" s="846">
        <v>121.452</v>
      </c>
      <c r="H92" s="846">
        <v>100.843</v>
      </c>
      <c r="I92" s="846">
        <v>127.125</v>
      </c>
      <c r="J92" s="846">
        <v>138.61699999999999</v>
      </c>
      <c r="K92" s="846">
        <v>152.887</v>
      </c>
      <c r="L92" s="846">
        <v>179.42099999999999</v>
      </c>
      <c r="M92" s="846">
        <v>135.69800000000001</v>
      </c>
    </row>
    <row r="93" spans="2:13" ht="18">
      <c r="B93" s="845">
        <v>2018</v>
      </c>
      <c r="C93" s="846">
        <v>251.107</v>
      </c>
      <c r="D93" s="846">
        <v>125.654</v>
      </c>
      <c r="E93" s="846">
        <v>113.523</v>
      </c>
      <c r="F93" s="846">
        <v>95.016999999999996</v>
      </c>
      <c r="G93" s="846">
        <v>120.745</v>
      </c>
      <c r="H93" s="846">
        <v>106.711</v>
      </c>
      <c r="I93" s="846">
        <v>124.871</v>
      </c>
      <c r="J93" s="846">
        <v>139.72999999999999</v>
      </c>
      <c r="K93" s="846">
        <v>152.98599999999999</v>
      </c>
      <c r="L93" s="846">
        <v>175.03399999999999</v>
      </c>
      <c r="M93" s="846">
        <v>138.27099999999999</v>
      </c>
    </row>
    <row r="94" spans="2:13" ht="18">
      <c r="B94" s="845">
        <v>2019</v>
      </c>
      <c r="C94" s="846">
        <v>255.65700000000001</v>
      </c>
      <c r="D94" s="846">
        <v>124.05200000000001</v>
      </c>
      <c r="E94" s="846">
        <v>109.24</v>
      </c>
      <c r="F94" s="846">
        <v>94.283000000000001</v>
      </c>
      <c r="G94" s="846">
        <v>120.248</v>
      </c>
      <c r="H94" s="846">
        <v>110.03400000000001</v>
      </c>
      <c r="I94" s="846">
        <v>124.185</v>
      </c>
      <c r="J94" s="846">
        <v>140.21799999999999</v>
      </c>
      <c r="K94" s="846">
        <v>156.88399999999999</v>
      </c>
      <c r="L94" s="846">
        <v>172.54300000000001</v>
      </c>
      <c r="M94" s="846">
        <v>138.79400000000001</v>
      </c>
    </row>
    <row r="95" spans="2:13" ht="18">
      <c r="B95" s="845">
        <v>2020</v>
      </c>
      <c r="C95" s="846">
        <v>258.81099999999998</v>
      </c>
      <c r="D95" s="846">
        <v>118.07899999999999</v>
      </c>
      <c r="E95" s="846">
        <v>100.611</v>
      </c>
      <c r="F95" s="846">
        <v>95.039000000000001</v>
      </c>
      <c r="G95" s="846">
        <v>115.718</v>
      </c>
      <c r="H95" s="846">
        <v>101.18899999999999</v>
      </c>
      <c r="I95" s="846">
        <v>120.559</v>
      </c>
      <c r="J95" s="846">
        <v>137.702</v>
      </c>
      <c r="K95" s="846">
        <v>152.10599999999999</v>
      </c>
      <c r="L95" s="846">
        <v>166.982</v>
      </c>
      <c r="M95" s="846">
        <v>143.41399999999999</v>
      </c>
    </row>
    <row r="96" spans="2:13" ht="18">
      <c r="B96" s="845">
        <v>2021</v>
      </c>
      <c r="C96" s="846">
        <v>270.97000000000003</v>
      </c>
      <c r="D96" s="846">
        <v>120.99299999999999</v>
      </c>
      <c r="E96" s="846">
        <v>101.593</v>
      </c>
      <c r="F96" s="846">
        <v>97.269000000000005</v>
      </c>
      <c r="G96" s="846">
        <v>118.15600000000001</v>
      </c>
      <c r="H96" s="846">
        <v>105.80800000000001</v>
      </c>
      <c r="I96" s="846">
        <v>124.462</v>
      </c>
      <c r="J96" s="846">
        <v>144.18700000000001</v>
      </c>
      <c r="K96" s="846">
        <v>156.62700000000001</v>
      </c>
      <c r="L96" s="846">
        <v>181.22200000000001</v>
      </c>
      <c r="M96" s="846">
        <v>149.648</v>
      </c>
    </row>
    <row r="97" spans="1:13" ht="18">
      <c r="B97" s="845">
        <v>2022</v>
      </c>
      <c r="C97" s="846">
        <v>292.65499999999997</v>
      </c>
      <c r="D97" s="846">
        <v>127.081</v>
      </c>
      <c r="E97" s="846">
        <v>107.098</v>
      </c>
      <c r="F97" s="846">
        <v>100.494</v>
      </c>
      <c r="G97" s="846">
        <v>125.229</v>
      </c>
      <c r="H97" s="846">
        <v>110.313</v>
      </c>
      <c r="I97" s="846">
        <v>130.55099999999999</v>
      </c>
      <c r="J97" s="846">
        <v>149.363</v>
      </c>
      <c r="K97" s="846">
        <v>165.68299999999999</v>
      </c>
      <c r="L97" s="846">
        <v>185.71899999999999</v>
      </c>
      <c r="M97" s="846">
        <v>152.41</v>
      </c>
    </row>
    <row r="98" spans="1:13" ht="18">
      <c r="B98" s="845">
        <v>2023</v>
      </c>
      <c r="C98" s="846">
        <v>304.702</v>
      </c>
      <c r="D98" s="846">
        <v>130.57900000000001</v>
      </c>
      <c r="E98" s="846">
        <v>110.38200000000001</v>
      </c>
      <c r="F98" s="846">
        <v>103.602</v>
      </c>
      <c r="G98" s="846">
        <v>129.76300000000001</v>
      </c>
      <c r="H98" s="846">
        <v>113.506</v>
      </c>
      <c r="I98" s="846">
        <v>131.923</v>
      </c>
      <c r="J98" s="846">
        <v>148.63300000000001</v>
      </c>
      <c r="K98" s="846">
        <v>166.392</v>
      </c>
      <c r="L98" s="846">
        <v>196.79599999999999</v>
      </c>
      <c r="M98" s="846">
        <v>153.505</v>
      </c>
    </row>
    <row r="99" spans="1:13" ht="18">
      <c r="B99" s="845">
        <v>2024</v>
      </c>
      <c r="C99" s="846">
        <v>313.68900000000002</v>
      </c>
      <c r="D99" s="846">
        <v>131.483</v>
      </c>
      <c r="E99" s="846">
        <v>111.131</v>
      </c>
      <c r="F99" s="846">
        <v>103.646</v>
      </c>
      <c r="G99" s="846">
        <v>131.072</v>
      </c>
      <c r="H99" s="846">
        <v>116.68899999999999</v>
      </c>
      <c r="I99" s="846">
        <v>132.04900000000001</v>
      </c>
      <c r="J99" s="846">
        <v>151.58000000000001</v>
      </c>
      <c r="K99" s="846">
        <v>165.83600000000001</v>
      </c>
      <c r="L99" s="846">
        <v>197.47399999999999</v>
      </c>
      <c r="M99" s="846">
        <v>158.16800000000001</v>
      </c>
    </row>
    <row r="100" spans="1:13">
      <c r="A100" t="s">
        <v>3722</v>
      </c>
      <c r="B100" t="s">
        <v>3729</v>
      </c>
    </row>
    <row r="103" spans="1:13" ht="34">
      <c r="B103" s="851" t="s">
        <v>3730</v>
      </c>
    </row>
    <row r="104" spans="1:13">
      <c r="B104" t="s">
        <v>543</v>
      </c>
      <c r="C104" t="s">
        <v>3731</v>
      </c>
      <c r="D104" t="s">
        <v>3732</v>
      </c>
    </row>
    <row r="105" spans="1:13">
      <c r="B105" s="2">
        <v>2020</v>
      </c>
      <c r="C105" s="695">
        <v>21.43</v>
      </c>
      <c r="D105" s="599">
        <v>-3.4000000000000002E-2</v>
      </c>
    </row>
    <row r="106" spans="1:13">
      <c r="B106" s="2">
        <v>2021</v>
      </c>
      <c r="C106" s="695">
        <v>23.31</v>
      </c>
      <c r="D106" s="599">
        <v>5.7000000000000002E-2</v>
      </c>
    </row>
    <row r="107" spans="1:13">
      <c r="B107" s="2">
        <v>2022</v>
      </c>
      <c r="C107" s="695">
        <v>25.36</v>
      </c>
      <c r="D107" s="599">
        <v>2.1000000000000001E-2</v>
      </c>
    </row>
    <row r="108" spans="1:13">
      <c r="B108" s="2">
        <v>2023</v>
      </c>
      <c r="C108" s="695">
        <v>27.36</v>
      </c>
      <c r="D108" s="599">
        <v>2.3E-2</v>
      </c>
    </row>
    <row r="109" spans="1:13">
      <c r="B109" s="2">
        <v>2024</v>
      </c>
      <c r="C109" s="695">
        <f>C108*(1+D108)</f>
        <v>27.989279999999997</v>
      </c>
      <c r="D109" s="599">
        <v>2.3E-2</v>
      </c>
    </row>
    <row r="110" spans="1:13">
      <c r="B110" t="s">
        <v>3748</v>
      </c>
      <c r="C110" s="695">
        <f t="shared" ref="C110:C112" si="0">C109*(1+D109)</f>
        <v>28.633033439999995</v>
      </c>
      <c r="D110" s="599">
        <v>1.9E-2</v>
      </c>
    </row>
    <row r="111" spans="1:13">
      <c r="B111" t="s">
        <v>3749</v>
      </c>
      <c r="C111" s="695">
        <f t="shared" si="0"/>
        <v>29.17706107535999</v>
      </c>
      <c r="D111" s="599">
        <v>1.8000000000000002E-2</v>
      </c>
    </row>
    <row r="112" spans="1:13">
      <c r="B112" t="s">
        <v>3750</v>
      </c>
      <c r="C112" s="695">
        <f t="shared" si="0"/>
        <v>29.70224817471647</v>
      </c>
      <c r="D112" s="599">
        <v>1.8000000000000002E-2</v>
      </c>
    </row>
    <row r="113" spans="1:4">
      <c r="A113" t="s">
        <v>3722</v>
      </c>
      <c r="B113" t="s">
        <v>3733</v>
      </c>
    </row>
    <row r="114" spans="1:4">
      <c r="B114" t="s">
        <v>3734</v>
      </c>
    </row>
    <row r="116" spans="1:4" ht="34">
      <c r="B116" s="851" t="s">
        <v>3735</v>
      </c>
    </row>
    <row r="117" spans="1:4">
      <c r="B117" t="s">
        <v>3736</v>
      </c>
      <c r="C117" t="s">
        <v>155</v>
      </c>
      <c r="D117" t="s">
        <v>3737</v>
      </c>
    </row>
    <row r="118" spans="1:4">
      <c r="B118" t="s">
        <v>528</v>
      </c>
      <c r="C118">
        <v>51.97</v>
      </c>
      <c r="D118" s="599">
        <v>0.22253623653842036</v>
      </c>
    </row>
    <row r="119" spans="1:4">
      <c r="B119" t="s">
        <v>529</v>
      </c>
      <c r="C119">
        <v>36.14</v>
      </c>
      <c r="D119" s="599">
        <v>0.15475196437364849</v>
      </c>
    </row>
    <row r="120" spans="1:4">
      <c r="B120" t="s">
        <v>150</v>
      </c>
      <c r="C120">
        <v>23.49</v>
      </c>
      <c r="D120" s="599">
        <v>0.10058449482946881</v>
      </c>
    </row>
    <row r="121" spans="1:4">
      <c r="B121" t="s">
        <v>152</v>
      </c>
      <c r="C121">
        <v>19.399999999999999</v>
      </c>
      <c r="D121" s="599">
        <v>8.3071060012417833E-2</v>
      </c>
    </row>
    <row r="122" spans="1:4">
      <c r="B122" t="s">
        <v>228</v>
      </c>
      <c r="C122">
        <v>15.17</v>
      </c>
      <c r="D122" s="599">
        <v>6.4958143318988595E-2</v>
      </c>
    </row>
    <row r="123" spans="1:4">
      <c r="B123" t="s">
        <v>525</v>
      </c>
      <c r="C123">
        <v>14.96</v>
      </c>
      <c r="D123" s="599">
        <v>6.4058920504421177E-2</v>
      </c>
    </row>
    <row r="124" spans="1:4">
      <c r="B124" t="s">
        <v>530</v>
      </c>
      <c r="C124">
        <v>11.85</v>
      </c>
      <c r="D124" s="599">
        <v>5.0741858822018114E-2</v>
      </c>
    </row>
    <row r="125" spans="1:4">
      <c r="B125" t="s">
        <v>537</v>
      </c>
      <c r="C125">
        <v>8.44</v>
      </c>
      <c r="D125" s="599">
        <v>3.614019311880446E-2</v>
      </c>
    </row>
    <row r="126" spans="1:4">
      <c r="B126" t="s">
        <v>536</v>
      </c>
      <c r="C126">
        <v>8.1</v>
      </c>
      <c r="D126" s="599">
        <v>3.4684308561885799E-2</v>
      </c>
    </row>
    <row r="127" spans="1:4">
      <c r="B127" t="s">
        <v>534</v>
      </c>
      <c r="C127">
        <v>6.21</v>
      </c>
      <c r="D127" s="599">
        <v>2.6591303230779111E-2</v>
      </c>
    </row>
    <row r="128" spans="1:4">
      <c r="B128" t="s">
        <v>447</v>
      </c>
      <c r="C128">
        <v>5.41</v>
      </c>
      <c r="D128" s="599">
        <v>2.3165692508617552E-2</v>
      </c>
    </row>
    <row r="129" spans="1:4">
      <c r="B129" t="s">
        <v>0</v>
      </c>
      <c r="C129">
        <v>5.23</v>
      </c>
      <c r="D129" s="599">
        <v>2.2394930096131204E-2</v>
      </c>
    </row>
    <row r="130" spans="1:4">
      <c r="B130" t="s">
        <v>532</v>
      </c>
      <c r="C130">
        <v>5.0599999999999996</v>
      </c>
      <c r="D130" s="599">
        <v>2.1666987817671866E-2</v>
      </c>
    </row>
    <row r="131" spans="1:4">
      <c r="B131" t="s">
        <v>154</v>
      </c>
      <c r="C131">
        <v>4.46</v>
      </c>
      <c r="D131" s="599">
        <v>1.9097779776050698E-2</v>
      </c>
    </row>
    <row r="132" spans="1:4">
      <c r="B132" t="s">
        <v>531</v>
      </c>
      <c r="C132">
        <v>3.4</v>
      </c>
      <c r="D132" s="599">
        <v>1.4558845569186631E-2</v>
      </c>
    </row>
    <row r="133" spans="1:4">
      <c r="B133" t="s">
        <v>539</v>
      </c>
      <c r="C133">
        <v>3.32</v>
      </c>
      <c r="D133" s="599">
        <v>1.4216284496970474E-2</v>
      </c>
    </row>
    <row r="134" spans="1:4">
      <c r="B134" t="s">
        <v>538</v>
      </c>
      <c r="C134">
        <v>2.54</v>
      </c>
      <c r="D134" s="599">
        <v>1.0876314042862954E-2</v>
      </c>
    </row>
    <row r="135" spans="1:4">
      <c r="B135" t="s">
        <v>533</v>
      </c>
      <c r="C135">
        <v>2.14</v>
      </c>
      <c r="D135" s="599">
        <v>9.1635086817821749E-3</v>
      </c>
    </row>
    <row r="136" spans="1:4">
      <c r="B136" t="s">
        <v>527</v>
      </c>
      <c r="C136">
        <v>1.78</v>
      </c>
      <c r="D136" s="599">
        <v>7.621983856809472E-3</v>
      </c>
    </row>
    <row r="137" spans="1:4">
      <c r="B137" t="s">
        <v>542</v>
      </c>
      <c r="C137">
        <v>1.24</v>
      </c>
      <c r="D137" s="599">
        <v>5.3096966193504182E-3</v>
      </c>
    </row>
    <row r="138" spans="1:4">
      <c r="B138" t="s">
        <v>540</v>
      </c>
      <c r="C138">
        <v>1.1000000000000001</v>
      </c>
      <c r="D138" s="599">
        <v>4.7102147429721464E-3</v>
      </c>
    </row>
    <row r="139" spans="1:4">
      <c r="B139" t="s">
        <v>526</v>
      </c>
      <c r="C139">
        <v>0.9</v>
      </c>
      <c r="D139" s="599">
        <v>3.8538120624317554E-3</v>
      </c>
    </row>
    <row r="140" spans="1:4">
      <c r="B140" t="s">
        <v>535</v>
      </c>
      <c r="C140">
        <v>0.61499999999999999</v>
      </c>
      <c r="D140" s="599">
        <v>2.6334382426616994E-3</v>
      </c>
    </row>
    <row r="141" spans="1:4">
      <c r="B141" t="s">
        <v>541</v>
      </c>
      <c r="C141">
        <v>0.61</v>
      </c>
      <c r="D141" s="599">
        <v>2.6120281756481897E-3</v>
      </c>
    </row>
    <row r="142" spans="1:4">
      <c r="B142" t="s">
        <v>17</v>
      </c>
      <c r="C142">
        <f>SUBTOTAL(109,Table16[Revenue])</f>
        <v>233.535</v>
      </c>
      <c r="D142" s="599">
        <f>SUBTOTAL(101,Table16[Share])</f>
        <v>4.1666666666666664E-2</v>
      </c>
    </row>
    <row r="143" spans="1:4">
      <c r="A143" t="s">
        <v>3738</v>
      </c>
      <c r="B143" t="s">
        <v>3739</v>
      </c>
    </row>
    <row r="145" spans="2:3" ht="34">
      <c r="B145" s="851" t="s">
        <v>3740</v>
      </c>
    </row>
    <row r="146" spans="2:3">
      <c r="B146" s="848" t="s">
        <v>543</v>
      </c>
      <c r="C146" s="848" t="s">
        <v>544</v>
      </c>
    </row>
    <row r="147" spans="2:3">
      <c r="B147" s="850" t="s">
        <v>3741</v>
      </c>
      <c r="C147" s="183">
        <v>798.72</v>
      </c>
    </row>
    <row r="148" spans="2:3">
      <c r="B148" s="850" t="s">
        <v>3742</v>
      </c>
      <c r="C148" s="183">
        <v>832</v>
      </c>
    </row>
    <row r="149" spans="2:3">
      <c r="B149" s="850" t="s">
        <v>3743</v>
      </c>
      <c r="C149" s="183">
        <v>750.34</v>
      </c>
    </row>
    <row r="150" spans="2:3">
      <c r="B150" s="850" t="s">
        <v>3744</v>
      </c>
      <c r="C150" s="183">
        <v>771.65</v>
      </c>
    </row>
    <row r="151" spans="2:3">
      <c r="B151" s="850" t="s">
        <v>3745</v>
      </c>
      <c r="C151" s="183">
        <v>909.59</v>
      </c>
    </row>
    <row r="152" spans="2:3">
      <c r="B152" s="850" t="s">
        <v>3746</v>
      </c>
      <c r="C152" s="183">
        <v>1010.23</v>
      </c>
    </row>
    <row r="153" spans="2:3">
      <c r="B153" s="850" t="s">
        <v>3747</v>
      </c>
      <c r="C153" s="183">
        <v>1071.55</v>
      </c>
    </row>
    <row r="160" spans="2:3">
      <c r="B160" t="s">
        <v>3752</v>
      </c>
    </row>
    <row r="161" spans="2:3">
      <c r="B161" s="32" t="s">
        <v>543</v>
      </c>
      <c r="C161" s="32" t="s">
        <v>3753</v>
      </c>
    </row>
    <row r="162" spans="2:3">
      <c r="B162" s="2">
        <v>2002</v>
      </c>
      <c r="C162" s="599">
        <v>1.1000000000000001E-2</v>
      </c>
    </row>
    <row r="163" spans="2:3">
      <c r="B163" s="2">
        <v>2003</v>
      </c>
      <c r="C163" s="599">
        <v>0.03</v>
      </c>
    </row>
    <row r="164" spans="2:3">
      <c r="B164" s="2">
        <v>2004</v>
      </c>
      <c r="C164" s="599">
        <v>1.7000000000000001E-2</v>
      </c>
    </row>
    <row r="165" spans="2:3">
      <c r="B165" s="2">
        <v>2005</v>
      </c>
      <c r="C165" s="599">
        <v>0.03</v>
      </c>
    </row>
    <row r="166" spans="2:3">
      <c r="B166" s="2">
        <v>2006</v>
      </c>
      <c r="C166" s="599">
        <v>3.6000000000000004E-2</v>
      </c>
    </row>
    <row r="167" spans="2:3">
      <c r="B167" s="2">
        <v>2007</v>
      </c>
      <c r="C167" s="599">
        <v>2.4E-2</v>
      </c>
    </row>
    <row r="168" spans="2:3">
      <c r="B168" s="2">
        <v>2008</v>
      </c>
      <c r="C168" s="599">
        <v>0.04</v>
      </c>
    </row>
    <row r="169" spans="2:3">
      <c r="B169" s="2">
        <v>2009</v>
      </c>
      <c r="C169" s="599">
        <v>2E-3</v>
      </c>
    </row>
    <row r="170" spans="2:3">
      <c r="B170" s="2">
        <v>2010</v>
      </c>
      <c r="C170" s="599">
        <v>2.1000000000000001E-2</v>
      </c>
    </row>
    <row r="171" spans="2:3">
      <c r="B171" s="2">
        <v>2011</v>
      </c>
      <c r="C171" s="599">
        <v>2.1000000000000001E-2</v>
      </c>
    </row>
    <row r="172" spans="2:3">
      <c r="B172" s="2">
        <v>2012</v>
      </c>
      <c r="C172" s="599">
        <v>2.8999999999999998E-2</v>
      </c>
    </row>
    <row r="173" spans="2:3">
      <c r="B173" s="2">
        <v>2013</v>
      </c>
      <c r="C173" s="599">
        <v>0.02</v>
      </c>
    </row>
    <row r="174" spans="2:3">
      <c r="B174" s="2">
        <v>2014</v>
      </c>
      <c r="C174" s="599">
        <v>1.1000000000000001E-2</v>
      </c>
    </row>
    <row r="175" spans="2:3">
      <c r="B175" s="2">
        <v>2015</v>
      </c>
      <c r="C175" s="599">
        <v>0</v>
      </c>
    </row>
    <row r="176" spans="2:3">
      <c r="B176" s="2">
        <v>2016</v>
      </c>
      <c r="C176" s="599">
        <v>0.01</v>
      </c>
    </row>
    <row r="177" spans="1:3">
      <c r="B177" s="2">
        <v>2017</v>
      </c>
      <c r="C177" s="599">
        <v>2.7000000000000003E-2</v>
      </c>
    </row>
    <row r="178" spans="1:3">
      <c r="B178" s="2">
        <v>2018</v>
      </c>
      <c r="C178" s="599">
        <v>2.2000000000000002E-2</v>
      </c>
    </row>
    <row r="179" spans="1:3">
      <c r="B179" s="2">
        <v>2019</v>
      </c>
      <c r="C179" s="599">
        <v>1.4999999999999999E-2</v>
      </c>
    </row>
    <row r="180" spans="1:3">
      <c r="B180" s="2">
        <v>2020</v>
      </c>
      <c r="C180" s="599">
        <v>2.3E-2</v>
      </c>
    </row>
    <row r="181" spans="1:3">
      <c r="B181" s="2">
        <v>2021</v>
      </c>
      <c r="C181" s="599">
        <v>1.7000000000000001E-2</v>
      </c>
    </row>
    <row r="182" spans="1:3">
      <c r="B182" s="2">
        <v>2022</v>
      </c>
      <c r="C182" s="599">
        <v>7.9000000000000001E-2</v>
      </c>
    </row>
    <row r="183" spans="1:3">
      <c r="B183" s="2">
        <v>2023</v>
      </c>
      <c r="C183" s="599">
        <v>0.06</v>
      </c>
    </row>
    <row r="184" spans="1:3">
      <c r="B184" s="2">
        <v>2024</v>
      </c>
      <c r="C184" s="599">
        <v>3.2000000000000001E-2</v>
      </c>
    </row>
    <row r="185" spans="1:3">
      <c r="B185" t="s">
        <v>3748</v>
      </c>
      <c r="C185" s="599">
        <v>2.5000000000000001E-2</v>
      </c>
    </row>
    <row r="186" spans="1:3">
      <c r="B186" t="s">
        <v>3749</v>
      </c>
      <c r="C186" s="599">
        <v>2.7E-2</v>
      </c>
    </row>
    <row r="187" spans="1:3">
      <c r="A187" t="s">
        <v>3722</v>
      </c>
      <c r="B187" t="s">
        <v>3754</v>
      </c>
    </row>
  </sheetData>
  <hyperlinks>
    <hyperlink ref="B16" r:id="rId1" display="https://www.uniformmarket.com/statistics/global-apparel-industry-statistics" xr:uid="{F373DF86-C6FE-A543-A2BF-E9F3B3D050A0}"/>
    <hyperlink ref="B33" r:id="rId2" display="https://www.uniformmarket.com/statistics/global-apparel-industry-statistics" xr:uid="{EA1F59CD-E5F1-604E-9F1D-8CAC6BCBDA08}"/>
    <hyperlink ref="B39" r:id="rId3" display="https://www.uniformmarket.com/statistics/global-apparel-industry-statistics" xr:uid="{67F37AC7-C659-3D41-A7EB-3A0310C6AB0A}"/>
    <hyperlink ref="B49" r:id="rId4" display="https://www.bls.gov/opub/ted/2025/apparel-data-in-fashion.htm" xr:uid="{F406D4A9-5D67-E849-B55A-7A0801122742}"/>
  </hyperlinks>
  <pageMargins left="0.7" right="0.7" top="0.75" bottom="0.75" header="0.3" footer="0.3"/>
  <drawing r:id="rId5"/>
  <tableParts count="9"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CDBC0-0262-0F4D-A78F-A0A3FFC278EE}">
  <sheetPr codeName="Sheet2"/>
  <dimension ref="B4:U78"/>
  <sheetViews>
    <sheetView showGridLines="0" zoomScale="69" workbookViewId="0">
      <selection activeCell="T15" sqref="T15"/>
    </sheetView>
  </sheetViews>
  <sheetFormatPr baseColWidth="10" defaultRowHeight="16"/>
  <cols>
    <col min="1" max="1" width="10.83203125" style="18"/>
    <col min="2" max="3" width="16" style="18" customWidth="1"/>
    <col min="4" max="4" width="10.83203125" style="18"/>
    <col min="5" max="6" width="11" style="18" bestFit="1" customWidth="1"/>
    <col min="7" max="13" width="10.83203125" style="18"/>
    <col min="14" max="14" width="14.83203125" style="18" bestFit="1" customWidth="1"/>
    <col min="15" max="16" width="19" style="18" bestFit="1" customWidth="1"/>
    <col min="17" max="17" width="18" style="18" bestFit="1" customWidth="1"/>
    <col min="18" max="18" width="14.1640625" style="18" customWidth="1"/>
    <col min="19" max="19" width="9" style="18" bestFit="1" customWidth="1"/>
    <col min="20" max="20" width="8.5" style="18" bestFit="1" customWidth="1"/>
    <col min="21" max="21" width="7.83203125" style="18" bestFit="1" customWidth="1"/>
    <col min="22" max="22" width="7.1640625" style="18" bestFit="1" customWidth="1"/>
    <col min="23" max="23" width="4.6640625" style="18" bestFit="1" customWidth="1"/>
    <col min="24" max="16384" width="10.83203125" style="18"/>
  </cols>
  <sheetData>
    <row r="4" spans="2:6">
      <c r="B4" s="809" t="s">
        <v>122</v>
      </c>
      <c r="C4" s="810"/>
      <c r="D4" s="810"/>
      <c r="E4" s="811" t="s">
        <v>146</v>
      </c>
      <c r="F4" s="812" t="s">
        <v>147</v>
      </c>
    </row>
    <row r="5" spans="2:6">
      <c r="B5" s="813" t="s">
        <v>123</v>
      </c>
      <c r="E5" s="38"/>
      <c r="F5" s="814"/>
    </row>
    <row r="6" spans="2:6">
      <c r="B6" s="813"/>
      <c r="E6" s="38"/>
      <c r="F6" s="814"/>
    </row>
    <row r="7" spans="2:6">
      <c r="B7" s="815" t="s">
        <v>116</v>
      </c>
      <c r="F7" s="816"/>
    </row>
    <row r="8" spans="2:6">
      <c r="B8" s="817" t="s">
        <v>0</v>
      </c>
      <c r="E8" s="18">
        <f>352+43.7</f>
        <v>395.7</v>
      </c>
      <c r="F8" s="816">
        <f>339.7+62.5</f>
        <v>402.2</v>
      </c>
    </row>
    <row r="9" spans="2:6">
      <c r="B9" s="817" t="s">
        <v>20</v>
      </c>
      <c r="E9" s="18">
        <v>658.5</v>
      </c>
      <c r="F9" s="816">
        <v>712.9</v>
      </c>
    </row>
    <row r="10" spans="2:6">
      <c r="B10" s="817" t="s">
        <v>1</v>
      </c>
      <c r="E10" s="18">
        <v>306.10000000000002</v>
      </c>
      <c r="F10" s="816">
        <v>330.6</v>
      </c>
    </row>
    <row r="11" spans="2:6">
      <c r="B11" s="818" t="s">
        <v>117</v>
      </c>
      <c r="C11" s="819"/>
      <c r="D11" s="819"/>
      <c r="E11" s="819">
        <v>8.4</v>
      </c>
      <c r="F11" s="820">
        <v>9.3000000000000007</v>
      </c>
    </row>
    <row r="12" spans="2:6">
      <c r="B12" s="815" t="s">
        <v>124</v>
      </c>
      <c r="E12" s="38">
        <f>SUM(E8:E11)</f>
        <v>1368.7000000000003</v>
      </c>
      <c r="F12" s="814">
        <f>SUM(F8:F11)</f>
        <v>1454.9999999999998</v>
      </c>
    </row>
    <row r="13" spans="2:6">
      <c r="B13" s="821"/>
      <c r="F13" s="816"/>
    </row>
    <row r="14" spans="2:6">
      <c r="B14" s="815" t="s">
        <v>118</v>
      </c>
      <c r="F14" s="816"/>
    </row>
    <row r="15" spans="2:6">
      <c r="B15" s="817" t="s">
        <v>2</v>
      </c>
      <c r="E15" s="18">
        <v>1176.5</v>
      </c>
      <c r="F15" s="816">
        <v>1232.5999999999999</v>
      </c>
    </row>
    <row r="16" spans="2:6">
      <c r="B16" s="817" t="s">
        <v>119</v>
      </c>
      <c r="E16" s="18">
        <v>148.5</v>
      </c>
      <c r="F16" s="816">
        <v>159.9</v>
      </c>
    </row>
    <row r="17" spans="2:21">
      <c r="B17" s="817"/>
      <c r="F17" s="816"/>
    </row>
    <row r="18" spans="2:21">
      <c r="B18" s="821"/>
      <c r="F18" s="816"/>
    </row>
    <row r="19" spans="2:21">
      <c r="B19" s="815" t="s">
        <v>120</v>
      </c>
      <c r="F19" s="816"/>
    </row>
    <row r="20" spans="2:21">
      <c r="B20" s="817" t="s">
        <v>0</v>
      </c>
      <c r="E20" s="18">
        <v>50.9</v>
      </c>
      <c r="F20" s="816">
        <v>64.599999999999994</v>
      </c>
    </row>
    <row r="21" spans="2:21">
      <c r="B21" s="818" t="s">
        <v>1</v>
      </c>
      <c r="C21" s="819"/>
      <c r="D21" s="819"/>
      <c r="E21" s="819">
        <v>3.5</v>
      </c>
      <c r="F21" s="820">
        <v>4</v>
      </c>
    </row>
    <row r="22" spans="2:21">
      <c r="B22" s="815" t="s">
        <v>125</v>
      </c>
      <c r="E22" s="38">
        <f>SUM(E20:E21)</f>
        <v>54.4</v>
      </c>
      <c r="F22" s="814">
        <f>SUM(F20:F21)</f>
        <v>68.599999999999994</v>
      </c>
    </row>
    <row r="23" spans="2:21">
      <c r="B23" s="821"/>
      <c r="F23" s="816"/>
    </row>
    <row r="24" spans="2:21">
      <c r="B24" s="815" t="s">
        <v>121</v>
      </c>
      <c r="E24" s="38">
        <v>63.1</v>
      </c>
      <c r="F24" s="814">
        <v>112.5</v>
      </c>
    </row>
    <row r="25" spans="2:21">
      <c r="B25" s="813"/>
      <c r="F25" s="816"/>
    </row>
    <row r="26" spans="2:21" ht="17" thickBot="1">
      <c r="B26" s="822"/>
      <c r="C26" s="823"/>
      <c r="D26" s="823"/>
      <c r="E26" s="823"/>
      <c r="F26" s="824"/>
    </row>
    <row r="27" spans="2:21" ht="17" thickTop="1">
      <c r="B27" s="825" t="s">
        <v>115</v>
      </c>
      <c r="C27" s="819"/>
      <c r="D27" s="819"/>
      <c r="E27" s="826">
        <f>E12+E22+E24</f>
        <v>1486.2000000000003</v>
      </c>
      <c r="F27" s="840">
        <f>F12+F22+F24</f>
        <v>1636.0999999999997</v>
      </c>
    </row>
    <row r="28" spans="2:21">
      <c r="B28" s="827"/>
      <c r="C28" s="828"/>
      <c r="D28" s="828"/>
      <c r="E28" s="828"/>
      <c r="F28" s="829"/>
    </row>
    <row r="29" spans="2:21">
      <c r="B29" s="830" t="s">
        <v>126</v>
      </c>
      <c r="F29" s="816"/>
    </row>
    <row r="30" spans="2:21">
      <c r="B30" s="831" t="s">
        <v>132</v>
      </c>
      <c r="F30" s="816"/>
    </row>
    <row r="31" spans="2:21">
      <c r="B31" s="832" t="s">
        <v>134</v>
      </c>
      <c r="E31" s="836">
        <f t="shared" ref="E31:F34" si="0">E8/$E$12</f>
        <v>0.28910645137721919</v>
      </c>
      <c r="F31" s="837">
        <f t="shared" si="0"/>
        <v>0.29385548330532618</v>
      </c>
      <c r="U31" s="21"/>
    </row>
    <row r="32" spans="2:21">
      <c r="B32" s="832" t="s">
        <v>135</v>
      </c>
      <c r="E32" s="836">
        <f t="shared" si="0"/>
        <v>0.48111346533206684</v>
      </c>
      <c r="F32" s="837">
        <f t="shared" si="0"/>
        <v>0.5208592094688389</v>
      </c>
      <c r="U32" s="21"/>
    </row>
    <row r="33" spans="2:21">
      <c r="B33" s="832" t="s">
        <v>136</v>
      </c>
      <c r="E33" s="836">
        <f t="shared" si="0"/>
        <v>0.22364287279900633</v>
      </c>
      <c r="F33" s="837">
        <f t="shared" si="0"/>
        <v>0.24154307006648643</v>
      </c>
      <c r="U33" s="21"/>
    </row>
    <row r="34" spans="2:21">
      <c r="B34" s="832" t="s">
        <v>137</v>
      </c>
      <c r="E34" s="836">
        <f t="shared" si="0"/>
        <v>6.1372104917074583E-3</v>
      </c>
      <c r="F34" s="837">
        <f t="shared" si="0"/>
        <v>6.7947687586761155E-3</v>
      </c>
      <c r="T34" s="21"/>
    </row>
    <row r="35" spans="2:21">
      <c r="B35" s="831" t="s">
        <v>133</v>
      </c>
      <c r="E35" s="836">
        <f>E12/E27</f>
        <v>0.92093930830305482</v>
      </c>
      <c r="F35" s="837">
        <f>F12/F27</f>
        <v>0.88930994437992794</v>
      </c>
      <c r="O35" s="835"/>
      <c r="T35" s="21"/>
    </row>
    <row r="36" spans="2:21">
      <c r="B36" s="832" t="s">
        <v>127</v>
      </c>
      <c r="E36" s="836">
        <f>E8/$E$27</f>
        <v>0.26624949535728698</v>
      </c>
      <c r="F36" s="837">
        <f>F8/$E$27</f>
        <v>0.27062306553626692</v>
      </c>
      <c r="O36" s="835"/>
      <c r="T36" s="21"/>
    </row>
    <row r="37" spans="2:21">
      <c r="B37" s="832" t="s">
        <v>128</v>
      </c>
      <c r="E37" s="836">
        <f t="shared" ref="E37:F37" si="1">E9/$E$27</f>
        <v>0.44307630197819936</v>
      </c>
      <c r="F37" s="837">
        <f t="shared" si="1"/>
        <v>0.47967972009150844</v>
      </c>
      <c r="O37" s="835"/>
      <c r="T37" s="21"/>
    </row>
    <row r="38" spans="2:21">
      <c r="B38" s="832" t="s">
        <v>138</v>
      </c>
      <c r="E38" s="836">
        <f t="shared" ref="E38:F38" si="2">E10/$E$27</f>
        <v>0.20596151258242495</v>
      </c>
      <c r="F38" s="837">
        <f t="shared" si="2"/>
        <v>0.22244650787242629</v>
      </c>
      <c r="O38" s="835"/>
      <c r="T38" s="21"/>
    </row>
    <row r="39" spans="2:21">
      <c r="B39" s="832" t="s">
        <v>129</v>
      </c>
      <c r="E39" s="836">
        <f t="shared" ref="E39:F39" si="3">E11/$E$27</f>
        <v>5.6519983851433175E-3</v>
      </c>
      <c r="F39" s="837">
        <f t="shared" si="3"/>
        <v>6.2575696406943875E-3</v>
      </c>
      <c r="O39" s="835"/>
      <c r="T39" s="21"/>
    </row>
    <row r="40" spans="2:21">
      <c r="B40" s="831" t="s">
        <v>130</v>
      </c>
      <c r="E40" s="836">
        <f>E24/E27</f>
        <v>4.2457273583636115E-2</v>
      </c>
      <c r="F40" s="837">
        <f>F24/F27</f>
        <v>6.8761078173705775E-2</v>
      </c>
      <c r="O40" s="835"/>
      <c r="T40" s="21"/>
    </row>
    <row r="41" spans="2:21">
      <c r="B41" s="831"/>
      <c r="E41" s="836"/>
      <c r="F41" s="837"/>
      <c r="O41" s="835"/>
      <c r="T41" s="21"/>
    </row>
    <row r="42" spans="2:21">
      <c r="B42" s="834" t="s">
        <v>131</v>
      </c>
      <c r="C42" s="819"/>
      <c r="D42" s="819"/>
      <c r="E42" s="838">
        <f>E22/E27</f>
        <v>3.6603418113309104E-2</v>
      </c>
      <c r="F42" s="839">
        <f>F22/F27</f>
        <v>4.1928977446366367E-2</v>
      </c>
    </row>
    <row r="45" spans="2:21">
      <c r="U45" s="21"/>
    </row>
    <row r="46" spans="2:21">
      <c r="P46" s="833"/>
      <c r="U46" s="21"/>
    </row>
    <row r="47" spans="2:21">
      <c r="P47" s="833"/>
      <c r="U47" s="21"/>
    </row>
    <row r="61" spans="14:16">
      <c r="N61"/>
      <c r="O61"/>
      <c r="P61"/>
    </row>
    <row r="62" spans="14:16">
      <c r="N62"/>
      <c r="O62"/>
      <c r="P62"/>
    </row>
    <row r="63" spans="14:16">
      <c r="N63"/>
      <c r="O63"/>
      <c r="P63"/>
    </row>
    <row r="64" spans="14:16">
      <c r="N64"/>
      <c r="O64"/>
      <c r="P64"/>
    </row>
    <row r="65" spans="14:16">
      <c r="N65"/>
      <c r="O65"/>
      <c r="P65"/>
    </row>
    <row r="66" spans="14:16">
      <c r="N66"/>
      <c r="O66"/>
      <c r="P66"/>
    </row>
    <row r="67" spans="14:16">
      <c r="N67"/>
      <c r="O67"/>
      <c r="P67"/>
    </row>
    <row r="68" spans="14:16">
      <c r="N68"/>
      <c r="O68"/>
      <c r="P68"/>
    </row>
    <row r="69" spans="14:16">
      <c r="N69"/>
      <c r="O69"/>
      <c r="P69"/>
    </row>
    <row r="70" spans="14:16">
      <c r="N70"/>
      <c r="O70"/>
      <c r="P70"/>
    </row>
    <row r="71" spans="14:16">
      <c r="N71"/>
      <c r="O71"/>
      <c r="P71"/>
    </row>
    <row r="72" spans="14:16">
      <c r="N72"/>
      <c r="O72"/>
      <c r="P72"/>
    </row>
    <row r="73" spans="14:16">
      <c r="N73"/>
      <c r="O73"/>
      <c r="P73"/>
    </row>
    <row r="74" spans="14:16">
      <c r="N74"/>
      <c r="O74"/>
      <c r="P74"/>
    </row>
    <row r="75" spans="14:16">
      <c r="N75"/>
      <c r="O75"/>
      <c r="P75"/>
    </row>
    <row r="76" spans="14:16">
      <c r="N76"/>
      <c r="O76"/>
      <c r="P76"/>
    </row>
    <row r="77" spans="14:16">
      <c r="N77"/>
      <c r="O77"/>
      <c r="P77"/>
    </row>
    <row r="78" spans="14:16">
      <c r="N78"/>
      <c r="O78"/>
      <c r="P7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0D2DB-9B6B-924F-BFE6-2A05144417FD}">
  <sheetPr codeName="Sheet11"/>
  <dimension ref="B1:BE132"/>
  <sheetViews>
    <sheetView workbookViewId="0"/>
  </sheetViews>
  <sheetFormatPr baseColWidth="10" defaultRowHeight="16"/>
  <cols>
    <col min="1" max="1" width="1.1640625" style="19" customWidth="1"/>
    <col min="2" max="2" width="20.6640625" style="19" customWidth="1"/>
    <col min="3" max="3" width="16.5" style="19" bestFit="1" customWidth="1"/>
    <col min="4" max="4" width="18" style="19" bestFit="1" customWidth="1"/>
    <col min="5" max="5" width="16.6640625" style="19" bestFit="1" customWidth="1"/>
    <col min="6" max="6" width="19" style="19" bestFit="1" customWidth="1"/>
    <col min="7" max="7" width="15" style="19" bestFit="1" customWidth="1"/>
    <col min="8" max="8" width="38.6640625" style="19" customWidth="1"/>
    <col min="9" max="9" width="1.1640625" style="19" customWidth="1"/>
    <col min="10" max="10" width="12.6640625" style="19" bestFit="1" customWidth="1"/>
    <col min="11" max="11" width="11.83203125" style="19" customWidth="1"/>
    <col min="12" max="14" width="12.83203125" style="19" bestFit="1" customWidth="1"/>
    <col min="15" max="18" width="12" style="19" bestFit="1" customWidth="1"/>
    <col min="19" max="19" width="1.1640625" style="19" customWidth="1"/>
    <col min="20" max="24" width="12.33203125" style="19" customWidth="1"/>
    <col min="25" max="25" width="11.1640625" style="19" bestFit="1" customWidth="1"/>
    <col min="26" max="26" width="3" style="19" customWidth="1"/>
    <col min="27" max="27" width="15.1640625" style="19" bestFit="1" customWidth="1"/>
    <col min="28" max="28" width="14.83203125" style="19" customWidth="1"/>
    <col min="29" max="29" width="13.6640625" style="19" customWidth="1"/>
    <col min="30" max="30" width="11.5" style="19" bestFit="1" customWidth="1"/>
    <col min="31" max="31" width="14.33203125" style="19" customWidth="1"/>
    <col min="32" max="32" width="16" style="19" customWidth="1"/>
    <col min="33" max="16384" width="10.83203125" style="19"/>
  </cols>
  <sheetData>
    <row r="1" spans="2:57" ht="29">
      <c r="B1" s="154" t="str">
        <f>_xlfn.CONCAT(F8," (",F10,": ",F9,")")</f>
        <v>Urban Outfitters Inc. (Nasdaq: UO)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57" ht="24">
      <c r="B2" s="199" t="s">
        <v>395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</row>
    <row r="3" spans="2:57">
      <c r="B3" s="84" t="s">
        <v>459</v>
      </c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</row>
    <row r="4" spans="2:57">
      <c r="B4" s="19" t="s">
        <v>396</v>
      </c>
      <c r="C4" s="260">
        <v>1</v>
      </c>
    </row>
    <row r="5" spans="2:57">
      <c r="B5" s="19" t="s">
        <v>456</v>
      </c>
      <c r="C5" s="261" t="s">
        <v>457</v>
      </c>
    </row>
    <row r="7" spans="2:57">
      <c r="B7" s="321" t="s">
        <v>293</v>
      </c>
      <c r="C7" s="321"/>
      <c r="D7" s="321"/>
      <c r="E7" s="321"/>
      <c r="F7" s="321"/>
      <c r="H7" s="84" t="s">
        <v>67</v>
      </c>
      <c r="J7" s="852" t="s">
        <v>259</v>
      </c>
      <c r="K7" s="852"/>
      <c r="L7" s="852"/>
      <c r="M7" s="852"/>
      <c r="N7" s="852"/>
      <c r="O7" s="83" t="s">
        <v>260</v>
      </c>
      <c r="P7" s="80" t="s">
        <v>261</v>
      </c>
      <c r="Q7" s="80" t="s">
        <v>262</v>
      </c>
      <c r="R7" s="80" t="s">
        <v>274</v>
      </c>
      <c r="S7" s="262"/>
      <c r="T7" s="852" t="s">
        <v>245</v>
      </c>
      <c r="U7" s="852"/>
      <c r="V7" s="852"/>
      <c r="W7" s="852"/>
      <c r="X7" s="852"/>
      <c r="Y7" s="42" t="s">
        <v>260</v>
      </c>
      <c r="AC7" s="853" t="s">
        <v>159</v>
      </c>
      <c r="AD7" s="853"/>
      <c r="AE7" s="853"/>
      <c r="AF7" s="853"/>
      <c r="AG7" s="248"/>
      <c r="AL7" s="248"/>
      <c r="AR7" s="248"/>
      <c r="AS7" s="322" t="s">
        <v>159</v>
      </c>
      <c r="AT7" s="322"/>
      <c r="AU7" s="322"/>
      <c r="AV7" s="322"/>
      <c r="AW7" s="322"/>
      <c r="AX7" s="322"/>
      <c r="AY7" s="248"/>
      <c r="AZ7" s="322" t="s">
        <v>463</v>
      </c>
      <c r="BA7" s="322"/>
      <c r="BB7" s="322"/>
      <c r="BC7" s="322"/>
      <c r="BD7" s="322"/>
      <c r="BE7" s="322"/>
    </row>
    <row r="8" spans="2:57">
      <c r="B8" s="323" t="s">
        <v>294</v>
      </c>
      <c r="C8" s="323"/>
      <c r="D8" s="323"/>
      <c r="E8" s="324"/>
      <c r="F8" s="325" t="s">
        <v>341</v>
      </c>
      <c r="H8" s="125"/>
      <c r="J8" s="133" t="s">
        <v>9</v>
      </c>
      <c r="K8" s="133" t="s">
        <v>10</v>
      </c>
      <c r="L8" s="133" t="s">
        <v>11</v>
      </c>
      <c r="M8" s="133" t="s">
        <v>13</v>
      </c>
      <c r="N8" s="152" t="s">
        <v>14</v>
      </c>
      <c r="O8" s="227" t="s">
        <v>263</v>
      </c>
      <c r="P8" s="133" t="s">
        <v>276</v>
      </c>
      <c r="Q8" s="133" t="s">
        <v>275</v>
      </c>
      <c r="R8" s="133" t="s">
        <v>275</v>
      </c>
      <c r="S8" s="82"/>
      <c r="T8" s="133" t="s">
        <v>18</v>
      </c>
      <c r="U8" s="133" t="s">
        <v>50</v>
      </c>
      <c r="V8" s="133" t="s">
        <v>51</v>
      </c>
      <c r="W8" s="133" t="s">
        <v>52</v>
      </c>
      <c r="X8" s="133" t="s">
        <v>53</v>
      </c>
      <c r="Y8" s="230" t="s">
        <v>263</v>
      </c>
      <c r="AC8" s="422" t="s">
        <v>464</v>
      </c>
      <c r="AD8" s="422"/>
      <c r="AE8" s="422"/>
      <c r="AF8" s="426">
        <f>SUM(T45:X45)</f>
        <v>1308544.7866771528</v>
      </c>
      <c r="AG8" s="248"/>
      <c r="AL8" s="248"/>
      <c r="AR8" s="248"/>
      <c r="AS8" s="248"/>
      <c r="AT8" s="326" t="s">
        <v>471</v>
      </c>
      <c r="AU8" s="326"/>
      <c r="AV8" s="326"/>
      <c r="AW8" s="326"/>
      <c r="AX8" s="326"/>
      <c r="AY8" s="248"/>
      <c r="AZ8" s="248"/>
      <c r="BA8" s="326" t="s">
        <v>471</v>
      </c>
      <c r="BB8" s="326"/>
      <c r="BC8" s="326"/>
      <c r="BD8" s="326"/>
      <c r="BE8" s="326"/>
    </row>
    <row r="9" spans="2:57">
      <c r="B9" s="323" t="s">
        <v>157</v>
      </c>
      <c r="C9" s="323"/>
      <c r="D9" s="323"/>
      <c r="E9" s="324"/>
      <c r="F9" s="325" t="s">
        <v>342</v>
      </c>
      <c r="H9" s="263" t="s">
        <v>81</v>
      </c>
      <c r="I9" s="251"/>
      <c r="J9" s="264"/>
      <c r="K9" s="264"/>
      <c r="L9" s="264"/>
      <c r="M9" s="265"/>
      <c r="N9" s="265"/>
      <c r="O9" s="266"/>
      <c r="P9" s="265"/>
      <c r="Q9" s="265"/>
      <c r="R9" s="265"/>
      <c r="S9" s="267"/>
      <c r="T9" s="128"/>
      <c r="U9" s="128"/>
      <c r="V9" s="128"/>
      <c r="W9" s="128"/>
      <c r="X9" s="128"/>
      <c r="AC9" s="427"/>
      <c r="AD9" s="424"/>
      <c r="AE9" s="424"/>
      <c r="AF9" s="431"/>
      <c r="AG9" s="248"/>
      <c r="AL9" s="248"/>
      <c r="AR9" s="248"/>
      <c r="AS9" s="327">
        <v>3225.3</v>
      </c>
      <c r="AT9" s="328" t="s">
        <v>483</v>
      </c>
      <c r="AU9" s="328" t="s">
        <v>484</v>
      </c>
      <c r="AV9" s="329" t="s">
        <v>485</v>
      </c>
      <c r="AW9" s="328" t="s">
        <v>486</v>
      </c>
      <c r="AX9" s="328" t="s">
        <v>487</v>
      </c>
      <c r="AY9" s="330"/>
      <c r="AZ9" s="327">
        <v>0</v>
      </c>
      <c r="BA9" s="328" t="s">
        <v>483</v>
      </c>
      <c r="BB9" s="328" t="s">
        <v>484</v>
      </c>
      <c r="BC9" s="329" t="s">
        <v>485</v>
      </c>
      <c r="BD9" s="328" t="s">
        <v>486</v>
      </c>
      <c r="BE9" s="328" t="s">
        <v>487</v>
      </c>
    </row>
    <row r="10" spans="2:57">
      <c r="B10" s="323" t="s">
        <v>295</v>
      </c>
      <c r="C10" s="323"/>
      <c r="D10" s="323"/>
      <c r="E10" s="324"/>
      <c r="F10" s="325" t="s">
        <v>296</v>
      </c>
      <c r="H10" s="128"/>
      <c r="J10" s="128"/>
      <c r="K10" s="128"/>
      <c r="L10" s="128"/>
      <c r="M10" s="128"/>
      <c r="N10" s="128"/>
      <c r="O10" s="268"/>
      <c r="P10" s="128"/>
      <c r="Q10" s="128"/>
      <c r="R10" s="128"/>
      <c r="S10" s="262"/>
      <c r="T10" s="128"/>
      <c r="U10" s="128"/>
      <c r="V10" s="128"/>
      <c r="W10" s="128"/>
      <c r="X10" s="128"/>
      <c r="AC10" s="432" t="s">
        <v>467</v>
      </c>
      <c r="AD10" s="432"/>
      <c r="AE10" s="432"/>
      <c r="AF10" s="432"/>
      <c r="AG10" s="248"/>
      <c r="AL10" s="248"/>
      <c r="AR10" s="868" t="s">
        <v>452</v>
      </c>
      <c r="AS10" s="331">
        <v>0.1</v>
      </c>
      <c r="AT10" s="332">
        <v>3057</v>
      </c>
      <c r="AU10" s="333">
        <v>3199</v>
      </c>
      <c r="AV10" s="333">
        <v>3341</v>
      </c>
      <c r="AW10" s="333">
        <v>3483</v>
      </c>
      <c r="AX10" s="333">
        <v>3625</v>
      </c>
      <c r="AY10" s="868" t="s">
        <v>452</v>
      </c>
      <c r="AZ10" s="331">
        <v>0.1</v>
      </c>
      <c r="BA10" s="334">
        <v>8.0000000000000002E-3</v>
      </c>
      <c r="BB10" s="335">
        <v>1.4E-2</v>
      </c>
      <c r="BC10" s="335">
        <v>1.9E-2</v>
      </c>
      <c r="BD10" s="335">
        <v>2.4E-2</v>
      </c>
      <c r="BE10" s="335">
        <v>2.8000000000000001E-2</v>
      </c>
    </row>
    <row r="11" spans="2:57">
      <c r="B11" s="323" t="s">
        <v>297</v>
      </c>
      <c r="C11" s="323"/>
      <c r="D11" s="323"/>
      <c r="E11" s="336"/>
      <c r="F11" s="337">
        <v>45322</v>
      </c>
      <c r="H11" s="269" t="s">
        <v>70</v>
      </c>
      <c r="J11" s="89">
        <v>3983789</v>
      </c>
      <c r="K11" s="89">
        <v>3449749</v>
      </c>
      <c r="L11" s="89">
        <v>4548763</v>
      </c>
      <c r="M11" s="89">
        <v>4795244</v>
      </c>
      <c r="N11" s="89">
        <v>5153237</v>
      </c>
      <c r="O11" s="229">
        <f>IFERROR((N11/J11)^(1/(MID($N$8,3,4)-MID($J$8,3,4)))-1,0)</f>
        <v>6.6463379344938733E-2</v>
      </c>
      <c r="P11" s="89">
        <v>1272200</v>
      </c>
      <c r="Q11" s="89">
        <v>1352000</v>
      </c>
      <c r="R11" s="89">
        <f>N11+Q11-P11</f>
        <v>5233037</v>
      </c>
      <c r="S11" s="262"/>
      <c r="T11" s="131">
        <f>R11*(1+T76)</f>
        <v>5588883.5160000008</v>
      </c>
      <c r="U11" s="131">
        <f>T11*(1+U76)</f>
        <v>5946572.0610240009</v>
      </c>
      <c r="V11" s="131">
        <f>U11*(1+V76)</f>
        <v>6303366.3846854409</v>
      </c>
      <c r="W11" s="131">
        <f>V11*(1+W76)</f>
        <v>6668961.6349971965</v>
      </c>
      <c r="X11" s="131">
        <f>W11*(1+X76)</f>
        <v>7029085.5632870458</v>
      </c>
      <c r="Y11" s="441">
        <f>IFERROR((X11/T11)^(1/(MID($X$8,3,4)-MID($T$8,3,4)))-1,0)</f>
        <v>5.8993862085988891E-2</v>
      </c>
      <c r="AC11" s="424" t="s">
        <v>469</v>
      </c>
      <c r="AD11" s="424"/>
      <c r="AE11" s="424"/>
      <c r="AF11" s="433">
        <f>X21</f>
        <v>878635.69541088073</v>
      </c>
      <c r="AG11" s="248"/>
      <c r="AL11" s="248"/>
      <c r="AR11" s="868"/>
      <c r="AS11" s="331">
        <v>0.105</v>
      </c>
      <c r="AT11" s="332">
        <v>3005</v>
      </c>
      <c r="AU11" s="338">
        <v>3144</v>
      </c>
      <c r="AV11" s="338">
        <v>3282</v>
      </c>
      <c r="AW11" s="338">
        <v>3421</v>
      </c>
      <c r="AX11" s="333">
        <v>3560</v>
      </c>
      <c r="AY11" s="868"/>
      <c r="AZ11" s="331">
        <v>0.105</v>
      </c>
      <c r="BA11" s="334">
        <v>1.2999999999999999E-2</v>
      </c>
      <c r="BB11" s="339">
        <v>1.9E-2</v>
      </c>
      <c r="BC11" s="339">
        <v>2.4E-2</v>
      </c>
      <c r="BD11" s="339">
        <v>2.9000000000000001E-2</v>
      </c>
      <c r="BE11" s="335">
        <v>3.3000000000000002E-2</v>
      </c>
    </row>
    <row r="12" spans="2:57">
      <c r="B12" s="323" t="s">
        <v>298</v>
      </c>
      <c r="C12" s="323"/>
      <c r="D12" s="323"/>
      <c r="E12" s="324"/>
      <c r="F12" s="325" t="s">
        <v>200</v>
      </c>
      <c r="H12" s="270" t="s">
        <v>258</v>
      </c>
      <c r="J12" s="271" t="s">
        <v>23</v>
      </c>
      <c r="K12" s="272">
        <f>IFERROR((K11-J11)/J11,0)</f>
        <v>-0.13405328444854886</v>
      </c>
      <c r="L12" s="272">
        <f>IFERROR((L11-K11)/K11,0)</f>
        <v>0.31857796030957614</v>
      </c>
      <c r="M12" s="272">
        <f>IFERROR((M11-L11)/L11,0)</f>
        <v>5.4186379901524875E-2</v>
      </c>
      <c r="N12" s="272">
        <f>IFERROR((N11-M11)/M11,0)</f>
        <v>7.4655846501241643E-2</v>
      </c>
      <c r="O12" s="273"/>
      <c r="P12" s="274" t="s">
        <v>23</v>
      </c>
      <c r="Q12" s="272">
        <f>IFERROR((Q11-P11)/P11,0)</f>
        <v>6.2725986480113197E-2</v>
      </c>
      <c r="R12" s="275" t="s">
        <v>23</v>
      </c>
      <c r="S12" s="262"/>
      <c r="T12" s="276">
        <f>T76</f>
        <v>6.8000000000000005E-2</v>
      </c>
      <c r="U12" s="276">
        <f t="shared" ref="U12:X12" si="0">U76</f>
        <v>6.4000000000000001E-2</v>
      </c>
      <c r="V12" s="276">
        <f t="shared" si="0"/>
        <v>0.06</v>
      </c>
      <c r="W12" s="276">
        <f t="shared" si="0"/>
        <v>5.8000000000000003E-2</v>
      </c>
      <c r="X12" s="276">
        <f t="shared" si="0"/>
        <v>5.3999999999999999E-2</v>
      </c>
      <c r="Y12" s="441"/>
      <c r="AC12" s="424" t="s">
        <v>471</v>
      </c>
      <c r="AD12" s="424"/>
      <c r="AE12" s="424"/>
      <c r="AF12" s="249">
        <v>7.5</v>
      </c>
      <c r="AG12" s="248"/>
      <c r="AL12" s="248"/>
      <c r="AR12" s="868"/>
      <c r="AS12" s="340">
        <v>0.11</v>
      </c>
      <c r="AT12" s="332">
        <v>2954</v>
      </c>
      <c r="AU12" s="338">
        <v>3090</v>
      </c>
      <c r="AV12" s="341" t="s">
        <v>488</v>
      </c>
      <c r="AW12" s="338">
        <v>3361</v>
      </c>
      <c r="AX12" s="333">
        <v>3497</v>
      </c>
      <c r="AY12" s="868"/>
      <c r="AZ12" s="340">
        <v>0.11</v>
      </c>
      <c r="BA12" s="334">
        <v>1.7000000000000001E-2</v>
      </c>
      <c r="BB12" s="339">
        <v>2.3E-2</v>
      </c>
      <c r="BC12" s="342">
        <v>2.8000000000000001E-2</v>
      </c>
      <c r="BD12" s="339">
        <v>3.3000000000000002E-2</v>
      </c>
      <c r="BE12" s="335">
        <v>3.6999999999999998E-2</v>
      </c>
    </row>
    <row r="13" spans="2:57" ht="16" hidden="1" customHeight="1">
      <c r="B13" s="128"/>
      <c r="C13" s="128"/>
      <c r="D13" s="128"/>
      <c r="E13" s="128"/>
      <c r="H13" s="269" t="s">
        <v>71</v>
      </c>
      <c r="J13" s="277">
        <v>-2729352</v>
      </c>
      <c r="K13" s="277">
        <v>-2572347</v>
      </c>
      <c r="L13" s="277">
        <v>-3054813</v>
      </c>
      <c r="M13" s="277">
        <v>-3361611</v>
      </c>
      <c r="N13" s="277">
        <v>-3425958</v>
      </c>
      <c r="O13" s="273"/>
      <c r="P13" s="128"/>
      <c r="Q13" s="128"/>
      <c r="R13" s="128"/>
      <c r="S13" s="85"/>
      <c r="T13" s="128" t="e">
        <f>-(T11-T16+T14)</f>
        <v>#REF!</v>
      </c>
      <c r="U13" s="128" t="e">
        <f>-(U11-U16+U14)</f>
        <v>#REF!</v>
      </c>
      <c r="V13" s="128" t="e">
        <f>-(V11-V16+V14)</f>
        <v>#REF!</v>
      </c>
      <c r="W13" s="128" t="e">
        <f>-(W11-W16+W14)</f>
        <v>#REF!</v>
      </c>
      <c r="X13" s="128" t="e">
        <f>-(X11-X16+X14)</f>
        <v>#REF!</v>
      </c>
      <c r="Y13" s="441"/>
      <c r="AC13" s="128"/>
      <c r="AD13" s="128"/>
      <c r="AE13" s="128"/>
      <c r="AF13" s="128"/>
      <c r="AG13" s="248"/>
      <c r="AL13" s="248"/>
      <c r="AR13" s="868"/>
      <c r="AS13" s="331">
        <v>0.115</v>
      </c>
      <c r="AT13" s="332">
        <v>2904</v>
      </c>
      <c r="AU13" s="338">
        <v>3037</v>
      </c>
      <c r="AV13" s="338">
        <v>3170</v>
      </c>
      <c r="AW13" s="338">
        <v>3302</v>
      </c>
      <c r="AX13" s="333">
        <v>3435</v>
      </c>
      <c r="AY13" s="868"/>
      <c r="AZ13" s="331">
        <v>0.115</v>
      </c>
      <c r="BA13" s="334">
        <v>2.1000000000000001E-2</v>
      </c>
      <c r="BB13" s="339">
        <v>2.7E-2</v>
      </c>
      <c r="BC13" s="339">
        <v>3.3000000000000002E-2</v>
      </c>
      <c r="BD13" s="339">
        <v>3.7999999999999999E-2</v>
      </c>
      <c r="BE13" s="335">
        <v>4.2000000000000003E-2</v>
      </c>
    </row>
    <row r="14" spans="2:57" ht="16" hidden="1" customHeight="1">
      <c r="B14" s="128"/>
      <c r="C14" s="128"/>
      <c r="D14" s="128"/>
      <c r="E14" s="128"/>
      <c r="H14" s="269" t="s">
        <v>72</v>
      </c>
      <c r="J14" s="277">
        <v>-14611</v>
      </c>
      <c r="K14" s="277">
        <v>-15496</v>
      </c>
      <c r="L14" s="277">
        <v>0</v>
      </c>
      <c r="M14" s="277">
        <v>-6417</v>
      </c>
      <c r="N14" s="277">
        <v>-11875</v>
      </c>
      <c r="O14" s="273"/>
      <c r="P14" s="128"/>
      <c r="Q14" s="128"/>
      <c r="R14" s="128"/>
      <c r="S14" s="85"/>
      <c r="T14" s="128" t="e">
        <f>#REF!*T11</f>
        <v>#REF!</v>
      </c>
      <c r="U14" s="128" t="e">
        <f>#REF!*U11</f>
        <v>#REF!</v>
      </c>
      <c r="V14" s="128" t="e">
        <f>#REF!*V11</f>
        <v>#REF!</v>
      </c>
      <c r="W14" s="128" t="e">
        <f>#REF!*W11</f>
        <v>#REF!</v>
      </c>
      <c r="X14" s="128" t="e">
        <f>#REF!*X11</f>
        <v>#REF!</v>
      </c>
      <c r="Y14" s="441"/>
      <c r="AC14" s="128"/>
      <c r="AD14" s="128"/>
      <c r="AE14" s="128"/>
      <c r="AF14" s="128"/>
      <c r="AG14" s="248"/>
      <c r="AL14" s="248"/>
      <c r="AR14" s="868"/>
      <c r="AS14" s="331">
        <v>0.12</v>
      </c>
      <c r="AT14" s="332">
        <v>2856</v>
      </c>
      <c r="AU14" s="333">
        <v>2986</v>
      </c>
      <c r="AV14" s="333">
        <v>3115</v>
      </c>
      <c r="AW14" s="333">
        <v>3245</v>
      </c>
      <c r="AX14" s="333">
        <v>3375</v>
      </c>
      <c r="AY14" s="868"/>
      <c r="AZ14" s="331">
        <v>0.12</v>
      </c>
      <c r="BA14" s="334">
        <v>2.5999999999999999E-2</v>
      </c>
      <c r="BB14" s="335">
        <v>3.2000000000000001E-2</v>
      </c>
      <c r="BC14" s="335">
        <v>3.6999999999999998E-2</v>
      </c>
      <c r="BD14" s="335">
        <v>4.2000000000000003E-2</v>
      </c>
      <c r="BE14" s="335">
        <v>4.5999999999999999E-2</v>
      </c>
    </row>
    <row r="15" spans="2:57">
      <c r="B15" s="323" t="s">
        <v>299</v>
      </c>
      <c r="C15" s="323"/>
      <c r="D15" s="323"/>
      <c r="E15" s="324"/>
      <c r="F15" s="325"/>
      <c r="H15" s="269" t="s">
        <v>264</v>
      </c>
      <c r="J15" s="88" cm="1">
        <f t="array" ref="J15">SUM(ABS(J13:J14))</f>
        <v>2743963</v>
      </c>
      <c r="K15" s="88" cm="1">
        <f t="array" ref="K15">SUM(ABS(K13:K14))</f>
        <v>2587843</v>
      </c>
      <c r="L15" s="88" cm="1">
        <f t="array" ref="L15">SUM(ABS(L13:L14))</f>
        <v>3054813</v>
      </c>
      <c r="M15" s="88" cm="1">
        <f t="array" ref="M15">SUM(ABS(M13:M14))</f>
        <v>3368028</v>
      </c>
      <c r="N15" s="88" cm="1">
        <f t="array" ref="N15">SUM(ABS(N13:N14))</f>
        <v>3437833</v>
      </c>
      <c r="O15" s="273"/>
      <c r="P15" s="90">
        <v>816600</v>
      </c>
      <c r="Q15" s="90">
        <v>858700</v>
      </c>
      <c r="R15" s="90">
        <f>N15+Q15-P15</f>
        <v>3479933</v>
      </c>
      <c r="S15" s="85"/>
      <c r="T15" s="278">
        <f>T11*T77</f>
        <v>3744551.9557200009</v>
      </c>
      <c r="U15" s="278">
        <f>U11*U77</f>
        <v>3954470.4205809608</v>
      </c>
      <c r="V15" s="278">
        <f>V11*V77</f>
        <v>4160221.813892391</v>
      </c>
      <c r="W15" s="278">
        <f>W11*W77</f>
        <v>4368169.8709231643</v>
      </c>
      <c r="X15" s="278">
        <f>X11*X77</f>
        <v>4568905.6161365798</v>
      </c>
      <c r="Y15" s="441"/>
      <c r="AC15" s="422" t="s">
        <v>473</v>
      </c>
      <c r="AD15" s="422"/>
      <c r="AE15" s="422"/>
      <c r="AF15" s="423">
        <f>AF11*AF12</f>
        <v>6589767.7155816052</v>
      </c>
      <c r="AG15" s="248"/>
      <c r="AL15" s="248"/>
    </row>
    <row r="16" spans="2:57">
      <c r="B16" s="323" t="s">
        <v>173</v>
      </c>
      <c r="C16" s="323"/>
      <c r="D16" s="323"/>
      <c r="E16" s="343"/>
      <c r="F16" s="344">
        <v>1.48</v>
      </c>
      <c r="H16" s="126" t="s">
        <v>73</v>
      </c>
      <c r="I16" s="38"/>
      <c r="J16" s="131">
        <f>J11-J15</f>
        <v>1239826</v>
      </c>
      <c r="K16" s="131">
        <f>K11-K15</f>
        <v>861906</v>
      </c>
      <c r="L16" s="131">
        <f>L11-L15</f>
        <v>1493950</v>
      </c>
      <c r="M16" s="131">
        <f>M11-M15</f>
        <v>1427216</v>
      </c>
      <c r="N16" s="131">
        <f>N11-N15</f>
        <v>1715404</v>
      </c>
      <c r="O16" s="229">
        <f>IFERROR((N16/J16)^(1/(MID($N$8,3,4)-MID($J$8,3,4)))-1,0)</f>
        <v>8.4554597560604572E-2</v>
      </c>
      <c r="P16" s="131">
        <f>P11-P15</f>
        <v>455600</v>
      </c>
      <c r="Q16" s="131">
        <f>Q11-Q15</f>
        <v>493300</v>
      </c>
      <c r="R16" s="131">
        <f>R11-R15</f>
        <v>1753104</v>
      </c>
      <c r="S16" s="81"/>
      <c r="T16" s="131">
        <f>T11-T15</f>
        <v>1844331.5602799999</v>
      </c>
      <c r="U16" s="131">
        <f t="shared" ref="U16:X16" si="1">U11-U15</f>
        <v>1992101.6404430401</v>
      </c>
      <c r="V16" s="131">
        <f t="shared" si="1"/>
        <v>2143144.5707930499</v>
      </c>
      <c r="W16" s="131">
        <f t="shared" si="1"/>
        <v>2300791.7640740322</v>
      </c>
      <c r="X16" s="131">
        <f t="shared" si="1"/>
        <v>2460179.947150466</v>
      </c>
      <c r="Y16" s="441">
        <f>IFERROR((X16/T16)^(1/(MID($X$8,3,4)-MID($T$8,3,4)))-1,0)</f>
        <v>7.4686934726304166E-2</v>
      </c>
      <c r="AC16" s="424" t="s">
        <v>454</v>
      </c>
      <c r="AD16" s="424"/>
      <c r="AE16" s="424"/>
      <c r="AF16" s="425">
        <f>1/(1+$J$42)^(MID($X$8,3,4)-MID($N$8,3,4))</f>
        <v>0.70537507469188054</v>
      </c>
      <c r="AG16" s="248"/>
      <c r="AL16" s="248"/>
    </row>
    <row r="17" spans="2:42">
      <c r="B17" s="323" t="s">
        <v>300</v>
      </c>
      <c r="C17" s="323"/>
      <c r="D17" s="323"/>
      <c r="E17" s="323"/>
      <c r="F17" s="345">
        <v>0.3</v>
      </c>
      <c r="H17" s="270" t="s">
        <v>265</v>
      </c>
      <c r="J17" s="279">
        <f>IFERROR(J16/J11,0)</f>
        <v>0.3112177878898707</v>
      </c>
      <c r="K17" s="279">
        <f>IFERROR(K16/K11,0)</f>
        <v>0.24984600328893494</v>
      </c>
      <c r="L17" s="279">
        <f>IFERROR(L16/L11,0)</f>
        <v>0.32842994897733735</v>
      </c>
      <c r="M17" s="279">
        <f>IFERROR(M16/M11,0)</f>
        <v>0.29763156994722273</v>
      </c>
      <c r="N17" s="279">
        <f>IFERROR(N16/N11,0)</f>
        <v>0.33287892639131483</v>
      </c>
      <c r="O17" s="273"/>
      <c r="P17" s="279">
        <f>IFERROR(P16/P11,0)</f>
        <v>0.35811979248545828</v>
      </c>
      <c r="Q17" s="279">
        <f>IFERROR(Q16/Q11,0)</f>
        <v>0.36486686390532547</v>
      </c>
      <c r="R17" s="279">
        <f>IFERROR(R16/R11,0)</f>
        <v>0.33500699498207254</v>
      </c>
      <c r="S17" s="85"/>
      <c r="T17" s="276">
        <f>T16/T11</f>
        <v>0.3299999999999999</v>
      </c>
      <c r="U17" s="276">
        <f t="shared" ref="U17:X17" si="2">U16/U11</f>
        <v>0.33499999999999996</v>
      </c>
      <c r="V17" s="276">
        <f t="shared" si="2"/>
        <v>0.33999999999999997</v>
      </c>
      <c r="W17" s="276">
        <f t="shared" si="2"/>
        <v>0.34499999999999992</v>
      </c>
      <c r="X17" s="276">
        <f t="shared" si="2"/>
        <v>0.35</v>
      </c>
      <c r="Y17" s="441"/>
      <c r="AC17" s="422" t="s">
        <v>477</v>
      </c>
      <c r="AD17" s="422"/>
      <c r="AE17" s="422"/>
      <c r="AF17" s="426">
        <f>AF15*AF16</f>
        <v>4648257.8945805179</v>
      </c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</row>
    <row r="18" spans="2:42" ht="16" hidden="1" customHeight="1">
      <c r="B18" s="346"/>
      <c r="C18" s="346"/>
      <c r="D18" s="346"/>
      <c r="E18" s="346"/>
      <c r="F18" s="346"/>
      <c r="H18" s="280" t="s">
        <v>74</v>
      </c>
      <c r="I18" s="281"/>
      <c r="J18" s="282">
        <v>-993990</v>
      </c>
      <c r="K18" s="282">
        <v>-857934</v>
      </c>
      <c r="L18" s="282">
        <v>-1085384</v>
      </c>
      <c r="M18" s="282">
        <v>-1200593</v>
      </c>
      <c r="N18" s="282">
        <v>-1339205</v>
      </c>
      <c r="O18" s="273"/>
      <c r="P18" s="128"/>
      <c r="Q18" s="128"/>
      <c r="R18" s="128"/>
      <c r="S18" s="85"/>
      <c r="T18" s="128" t="e">
        <f>#REF!*T11</f>
        <v>#REF!</v>
      </c>
      <c r="U18" s="128" t="e">
        <f>#REF!*U11</f>
        <v>#REF!</v>
      </c>
      <c r="V18" s="128" t="e">
        <f>#REF!*V11</f>
        <v>#REF!</v>
      </c>
      <c r="W18" s="128" t="e">
        <f>#REF!*W11</f>
        <v>#REF!</v>
      </c>
      <c r="X18" s="128" t="e">
        <f>#REF!*X11</f>
        <v>#REF!</v>
      </c>
      <c r="Y18" s="441"/>
      <c r="AC18" s="427" t="s">
        <v>478</v>
      </c>
      <c r="AD18" s="427"/>
      <c r="AE18" s="424"/>
      <c r="AF18" s="428">
        <v>0.63100000000000001</v>
      </c>
      <c r="AG18" s="248"/>
      <c r="AH18" s="247" t="s">
        <v>480</v>
      </c>
      <c r="AI18" s="247"/>
      <c r="AJ18" s="248"/>
      <c r="AK18" s="347" t="s">
        <v>481</v>
      </c>
      <c r="AL18" s="248"/>
      <c r="AM18" s="247" t="s">
        <v>476</v>
      </c>
      <c r="AN18" s="247"/>
      <c r="AO18" s="248"/>
      <c r="AP18" s="348" t="s">
        <v>482</v>
      </c>
    </row>
    <row r="19" spans="2:42" ht="16" hidden="1" customHeight="1">
      <c r="H19" s="280" t="s">
        <v>82</v>
      </c>
      <c r="I19" s="281"/>
      <c r="J19" s="283">
        <v>-13911</v>
      </c>
      <c r="K19" s="283">
        <v>0</v>
      </c>
      <c r="L19" s="283">
        <v>0</v>
      </c>
      <c r="M19" s="283">
        <v>0</v>
      </c>
      <c r="N19" s="283">
        <v>-6404</v>
      </c>
      <c r="O19" s="273"/>
      <c r="P19" s="128"/>
      <c r="Q19" s="128"/>
      <c r="R19" s="128"/>
      <c r="S19" s="85"/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441"/>
      <c r="AC19" s="424"/>
      <c r="AD19" s="424"/>
      <c r="AE19" s="424"/>
      <c r="AF19" s="429"/>
      <c r="AG19" s="248"/>
      <c r="AH19" s="248"/>
      <c r="AI19" s="248"/>
      <c r="AJ19" s="248"/>
      <c r="AK19" s="251"/>
      <c r="AL19" s="248"/>
      <c r="AM19" s="248"/>
      <c r="AN19" s="248"/>
      <c r="AO19" s="248"/>
      <c r="AP19" s="248"/>
    </row>
    <row r="20" spans="2:42">
      <c r="H20" s="280" t="s">
        <v>74</v>
      </c>
      <c r="I20" s="281"/>
      <c r="J20" s="90" cm="1">
        <f t="array" ref="J20">SUM(ABS(J18:J19))</f>
        <v>1007901</v>
      </c>
      <c r="K20" s="90" cm="1">
        <f t="array" ref="K20">SUM(ABS(K18:K19))</f>
        <v>857934</v>
      </c>
      <c r="L20" s="90" cm="1">
        <f t="array" ref="L20">SUM(ABS(L18:L19))</f>
        <v>1085384</v>
      </c>
      <c r="M20" s="90" cm="1">
        <f t="array" ref="M20">SUM(ABS(M18:M19))</f>
        <v>1200593</v>
      </c>
      <c r="N20" s="90" cm="1">
        <f t="array" ref="N20">SUM(ABS(N18:N19))</f>
        <v>1345609</v>
      </c>
      <c r="O20" s="273"/>
      <c r="P20" s="90">
        <v>323500</v>
      </c>
      <c r="Q20" s="90">
        <v>348200</v>
      </c>
      <c r="R20" s="90">
        <f>N20+Q20-P20</f>
        <v>1370309</v>
      </c>
      <c r="S20" s="85"/>
      <c r="T20" s="278">
        <f>T11*T78</f>
        <v>1257498.7911000003</v>
      </c>
      <c r="U20" s="278">
        <f>U11*U78</f>
        <v>1337978.7137304002</v>
      </c>
      <c r="V20" s="278">
        <f>V11*V78</f>
        <v>1418257.4365542242</v>
      </c>
      <c r="W20" s="278">
        <f>W11*W78</f>
        <v>1500516.3678743693</v>
      </c>
      <c r="X20" s="278">
        <f>X11*X78</f>
        <v>1581544.2517395853</v>
      </c>
      <c r="Y20" s="441"/>
      <c r="AC20" s="430" t="s">
        <v>489</v>
      </c>
      <c r="AD20" s="128"/>
      <c r="AE20" s="128"/>
      <c r="AF20" s="276">
        <f>AF17/AF22</f>
        <v>0.78032765953548799</v>
      </c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</row>
    <row r="21" spans="2:42">
      <c r="B21" s="321" t="s">
        <v>301</v>
      </c>
      <c r="C21" s="321"/>
      <c r="D21" s="321"/>
      <c r="E21" s="321"/>
      <c r="F21" s="321"/>
      <c r="H21" s="126" t="s">
        <v>75</v>
      </c>
      <c r="I21" s="38"/>
      <c r="J21" s="134">
        <f>J16-J20</f>
        <v>231925</v>
      </c>
      <c r="K21" s="134">
        <f t="shared" ref="K21:N21" si="3">K16-K20</f>
        <v>3972</v>
      </c>
      <c r="L21" s="134">
        <f t="shared" si="3"/>
        <v>408566</v>
      </c>
      <c r="M21" s="134">
        <f t="shared" si="3"/>
        <v>226623</v>
      </c>
      <c r="N21" s="134">
        <f t="shared" si="3"/>
        <v>369795</v>
      </c>
      <c r="O21" s="229">
        <f>IFERROR((N21/J21)^(1/(MID($N$8,3,4)-MID($J$8,3,4)))-1,0)</f>
        <v>0.12370772736686919</v>
      </c>
      <c r="P21" s="134">
        <f t="shared" ref="P21:R21" si="4">P16-P20</f>
        <v>132100</v>
      </c>
      <c r="Q21" s="134">
        <f t="shared" si="4"/>
        <v>145100</v>
      </c>
      <c r="R21" s="134">
        <f t="shared" si="4"/>
        <v>382795</v>
      </c>
      <c r="S21" s="94"/>
      <c r="T21" s="131">
        <f>T16-T20</f>
        <v>586832.7691799996</v>
      </c>
      <c r="U21" s="131">
        <f t="shared" ref="U21:X21" si="5">U16-U20</f>
        <v>654122.92671263986</v>
      </c>
      <c r="V21" s="131">
        <f t="shared" si="5"/>
        <v>724887.13423882565</v>
      </c>
      <c r="W21" s="131">
        <f t="shared" si="5"/>
        <v>800275.39619966294</v>
      </c>
      <c r="X21" s="131">
        <f t="shared" si="5"/>
        <v>878635.69541088073</v>
      </c>
      <c r="Y21" s="441">
        <f>IFERROR((X21/T21)^(1/(MID($X$8,3,4)-MID($T$8,3,4)))-1,0)</f>
        <v>0.10617444581125657</v>
      </c>
      <c r="AC21" s="128"/>
      <c r="AD21" s="128"/>
      <c r="AE21" s="128"/>
      <c r="AF21" s="128"/>
    </row>
    <row r="22" spans="2:42">
      <c r="B22" s="323" t="s">
        <v>302</v>
      </c>
      <c r="C22" s="323"/>
      <c r="D22" s="323"/>
      <c r="E22" s="349">
        <f ca="1">TODAY()</f>
        <v>45770</v>
      </c>
      <c r="F22" s="350">
        <f>STATS!C5</f>
        <v>49.28</v>
      </c>
      <c r="H22" s="270" t="s">
        <v>265</v>
      </c>
      <c r="J22" s="279">
        <f>IFERROR(J21/J11,0)</f>
        <v>5.8217189715619976E-2</v>
      </c>
      <c r="K22" s="279">
        <f>IFERROR(K21/K11,0)</f>
        <v>1.1513881154831844E-3</v>
      </c>
      <c r="L22" s="279">
        <f>IFERROR(L21/L11,0)</f>
        <v>8.9819144237675161E-2</v>
      </c>
      <c r="M22" s="279">
        <f>IFERROR(M21/M11,0)</f>
        <v>4.7259951735511271E-2</v>
      </c>
      <c r="N22" s="279">
        <f>IFERROR(N21/N11,0)</f>
        <v>7.1759750230777283E-2</v>
      </c>
      <c r="O22" s="273"/>
      <c r="P22" s="279">
        <f>IFERROR(P21/P11,0)</f>
        <v>0.10383587486244301</v>
      </c>
      <c r="Q22" s="279">
        <f>IFERROR(Q21/Q11,0)</f>
        <v>0.1073224852071006</v>
      </c>
      <c r="R22" s="279">
        <f>IFERROR(R21/R11,0)</f>
        <v>7.3149683443858707E-2</v>
      </c>
      <c r="S22" s="85"/>
      <c r="T22" s="276">
        <f>T21/T11</f>
        <v>0.10499999999999991</v>
      </c>
      <c r="U22" s="276">
        <f t="shared" ref="U22:X22" si="6">U21/U11</f>
        <v>0.10999999999999996</v>
      </c>
      <c r="V22" s="276">
        <f t="shared" si="6"/>
        <v>0.11499999999999999</v>
      </c>
      <c r="W22" s="276">
        <f t="shared" si="6"/>
        <v>0.1199999999999999</v>
      </c>
      <c r="X22" s="276">
        <f t="shared" si="6"/>
        <v>0.125</v>
      </c>
      <c r="Y22" s="441"/>
      <c r="AC22" s="422" t="s">
        <v>313</v>
      </c>
      <c r="AD22" s="422"/>
      <c r="AE22" s="422"/>
      <c r="AF22" s="255">
        <f>AF17+AF8</f>
        <v>5956802.6812576707</v>
      </c>
    </row>
    <row r="23" spans="2:42">
      <c r="B23" s="351" t="s">
        <v>303</v>
      </c>
      <c r="C23" s="351"/>
      <c r="D23" s="351"/>
      <c r="E23" s="352"/>
      <c r="F23" s="353">
        <f>+IF(ISERROR(F22/F24),"NA",F22/F24)</f>
        <v>0.80575539568345333</v>
      </c>
      <c r="H23" s="269" t="s">
        <v>272</v>
      </c>
      <c r="J23" s="90">
        <v>112256</v>
      </c>
      <c r="K23" s="90">
        <v>103771</v>
      </c>
      <c r="L23" s="90">
        <v>105672</v>
      </c>
      <c r="M23" s="90">
        <v>102339</v>
      </c>
      <c r="N23" s="90">
        <v>102487</v>
      </c>
      <c r="O23" s="273"/>
      <c r="P23" s="90">
        <v>47000</v>
      </c>
      <c r="Q23" s="90">
        <v>57000</v>
      </c>
      <c r="R23" s="90">
        <f>N23+Q23-P23</f>
        <v>112487</v>
      </c>
      <c r="S23" s="85"/>
      <c r="T23" s="278">
        <f>T11*T79</f>
        <v>122955.43735200001</v>
      </c>
      <c r="U23" s="278">
        <f>U11*U79</f>
        <v>130824.58534252801</v>
      </c>
      <c r="V23" s="278">
        <f>V11*V79</f>
        <v>138674.06046307969</v>
      </c>
      <c r="W23" s="278">
        <f>W11*W79</f>
        <v>146717.15596993832</v>
      </c>
      <c r="X23" s="278">
        <f>X11*X79</f>
        <v>154639.88239231499</v>
      </c>
      <c r="Y23" s="441"/>
      <c r="AC23" s="248"/>
      <c r="AD23" s="248"/>
      <c r="AE23" s="248"/>
      <c r="AF23" s="248"/>
    </row>
    <row r="24" spans="2:42">
      <c r="B24" s="354" t="s">
        <v>304</v>
      </c>
      <c r="C24" s="323"/>
      <c r="D24" s="323"/>
      <c r="E24" s="349"/>
      <c r="F24" s="355">
        <f>STATS!C6</f>
        <v>61.16</v>
      </c>
      <c r="H24" s="127" t="s">
        <v>160</v>
      </c>
      <c r="J24" s="131">
        <f>J21-J23</f>
        <v>119669</v>
      </c>
      <c r="K24" s="131">
        <f t="shared" ref="K24:N24" si="7">K21-K23</f>
        <v>-99799</v>
      </c>
      <c r="L24" s="131">
        <f t="shared" si="7"/>
        <v>302894</v>
      </c>
      <c r="M24" s="131">
        <f t="shared" si="7"/>
        <v>124284</v>
      </c>
      <c r="N24" s="131">
        <f t="shared" si="7"/>
        <v>267308</v>
      </c>
      <c r="O24" s="229">
        <f>IFERROR((N24/J24)^(1/(MID($N$8,3,4)-MID($J$8,3,4)))-1,0)</f>
        <v>0.22252450645341226</v>
      </c>
      <c r="P24" s="131">
        <f t="shared" ref="P24:R24" si="8">P21-P23</f>
        <v>85100</v>
      </c>
      <c r="Q24" s="131">
        <f t="shared" si="8"/>
        <v>88100</v>
      </c>
      <c r="R24" s="131">
        <f t="shared" si="8"/>
        <v>270308</v>
      </c>
      <c r="S24" s="85"/>
      <c r="T24" s="131">
        <f>T21-T23</f>
        <v>463877.33182799956</v>
      </c>
      <c r="U24" s="131">
        <f t="shared" ref="U24:X24" si="9">U21-U23</f>
        <v>523298.34137011186</v>
      </c>
      <c r="V24" s="131">
        <f t="shared" si="9"/>
        <v>586213.07377574593</v>
      </c>
      <c r="W24" s="131">
        <f t="shared" si="9"/>
        <v>653558.24022972467</v>
      </c>
      <c r="X24" s="131">
        <f t="shared" si="9"/>
        <v>723995.81301856576</v>
      </c>
      <c r="Y24" s="441">
        <f>IFERROR((X24/T24)^(1/(MID($X$8,3,4)-MID($T$8,3,4)))-1,0)</f>
        <v>0.11772052490307949</v>
      </c>
      <c r="AC24" s="248"/>
      <c r="AD24" s="248"/>
      <c r="AE24" s="248"/>
      <c r="AF24" s="248"/>
    </row>
    <row r="25" spans="2:42">
      <c r="B25" s="354" t="s">
        <v>305</v>
      </c>
      <c r="C25" s="323"/>
      <c r="D25" s="323"/>
      <c r="E25" s="349"/>
      <c r="F25" s="355">
        <f>STATS!C7</f>
        <v>33.86</v>
      </c>
      <c r="H25" s="270" t="s">
        <v>265</v>
      </c>
      <c r="J25" s="279">
        <f>IFERROR(J24/J11,0)</f>
        <v>3.0038990518825168E-2</v>
      </c>
      <c r="K25" s="279">
        <f>IFERROR(K24/K11,0)</f>
        <v>-2.8929351091920019E-2</v>
      </c>
      <c r="L25" s="279">
        <f>IFERROR(L24/L11,0)</f>
        <v>6.6588213103210697E-2</v>
      </c>
      <c r="M25" s="279">
        <f>IFERROR(M24/M11,0)</f>
        <v>2.5918180597275135E-2</v>
      </c>
      <c r="N25" s="279">
        <f>IFERROR(N24/N11,0)</f>
        <v>5.1871862287723232E-2</v>
      </c>
      <c r="O25" s="273"/>
      <c r="P25" s="279">
        <f>IFERROR(P24/P11,0)</f>
        <v>6.6891998113504172E-2</v>
      </c>
      <c r="Q25" s="279">
        <f>IFERROR(Q24/Q11,0)</f>
        <v>6.5162721893491121E-2</v>
      </c>
      <c r="R25" s="279">
        <f>IFERROR(R24/R11,0)</f>
        <v>5.1654135065354975E-2</v>
      </c>
      <c r="S25" s="85"/>
      <c r="T25" s="276">
        <f>T24/T11</f>
        <v>8.2999999999999907E-2</v>
      </c>
      <c r="U25" s="276">
        <f t="shared" ref="U25:X25" si="10">U24/U11</f>
        <v>8.7999999999999967E-2</v>
      </c>
      <c r="V25" s="276">
        <f t="shared" si="10"/>
        <v>9.2999999999999985E-2</v>
      </c>
      <c r="W25" s="276">
        <f t="shared" si="10"/>
        <v>9.7999999999999907E-2</v>
      </c>
      <c r="X25" s="276">
        <f t="shared" si="10"/>
        <v>0.10300000000000001</v>
      </c>
      <c r="Y25" s="441"/>
      <c r="AC25" s="853" t="s">
        <v>462</v>
      </c>
      <c r="AD25" s="853"/>
      <c r="AE25" s="853"/>
      <c r="AF25" s="853"/>
    </row>
    <row r="26" spans="2:42">
      <c r="B26" s="354" t="s">
        <v>306</v>
      </c>
      <c r="C26" s="323"/>
      <c r="D26" s="323"/>
      <c r="E26" s="323"/>
      <c r="F26" s="355"/>
      <c r="H26" s="269" t="s">
        <v>76</v>
      </c>
      <c r="J26" s="91">
        <v>10638</v>
      </c>
      <c r="K26" s="91">
        <v>3119</v>
      </c>
      <c r="L26" s="91">
        <v>2343</v>
      </c>
      <c r="M26" s="91">
        <v>2041</v>
      </c>
      <c r="N26" s="91">
        <v>23631</v>
      </c>
      <c r="O26" s="273"/>
      <c r="P26" s="91">
        <v>3400</v>
      </c>
      <c r="Q26" s="91">
        <v>7500</v>
      </c>
      <c r="R26" s="91">
        <f>N26+Q26-P26</f>
        <v>27731</v>
      </c>
      <c r="S26" s="85"/>
      <c r="T26" s="284">
        <v>0</v>
      </c>
      <c r="U26" s="284">
        <v>0</v>
      </c>
      <c r="V26" s="284">
        <v>0</v>
      </c>
      <c r="W26" s="284">
        <v>0</v>
      </c>
      <c r="X26" s="284">
        <v>0</v>
      </c>
      <c r="Y26" s="441"/>
      <c r="AC26" s="424" t="s">
        <v>159</v>
      </c>
      <c r="AD26" s="424"/>
      <c r="AE26" s="434"/>
      <c r="AF26" s="435">
        <f>AF22</f>
        <v>5956802.6812576707</v>
      </c>
    </row>
    <row r="27" spans="2:42">
      <c r="B27" s="323"/>
      <c r="C27" s="323"/>
      <c r="D27" s="323"/>
      <c r="E27" s="323"/>
      <c r="F27" s="356"/>
      <c r="H27" s="269" t="s">
        <v>77</v>
      </c>
      <c r="J27" s="91">
        <v>1202</v>
      </c>
      <c r="K27" s="91">
        <v>3405</v>
      </c>
      <c r="L27" s="91">
        <v>1104</v>
      </c>
      <c r="M27" s="91">
        <v>1315</v>
      </c>
      <c r="N27" s="91">
        <v>7662</v>
      </c>
      <c r="O27" s="273"/>
      <c r="P27" s="91">
        <v>0</v>
      </c>
      <c r="Q27" s="91">
        <v>0</v>
      </c>
      <c r="R27" s="91">
        <f>N27+Q27-P27</f>
        <v>7662</v>
      </c>
      <c r="S27" s="85"/>
      <c r="T27" s="285">
        <f>T11*T81</f>
        <v>2794.4417580000004</v>
      </c>
      <c r="U27" s="284">
        <f>U11*U81</f>
        <v>2973.2860305120007</v>
      </c>
      <c r="V27" s="284">
        <f>V11*V81</f>
        <v>3151.6831923427203</v>
      </c>
      <c r="W27" s="284">
        <f>W11*W81</f>
        <v>3334.4808174985983</v>
      </c>
      <c r="X27" s="284">
        <f>X11*X81</f>
        <v>3514.5427816435231</v>
      </c>
      <c r="Y27" s="441"/>
      <c r="AC27" s="424" t="s">
        <v>466</v>
      </c>
      <c r="AD27" s="424"/>
      <c r="AE27" s="424"/>
      <c r="AF27" s="257">
        <f>BS!H39</f>
        <v>1998669</v>
      </c>
    </row>
    <row r="28" spans="2:42">
      <c r="B28" s="357" t="s">
        <v>307</v>
      </c>
      <c r="C28" s="323"/>
      <c r="D28" s="323"/>
      <c r="E28" s="323"/>
      <c r="F28" s="358">
        <f>N35</f>
        <v>94327785</v>
      </c>
      <c r="H28" s="269" t="s">
        <v>78</v>
      </c>
      <c r="J28" s="91">
        <v>1641</v>
      </c>
      <c r="K28" s="91">
        <v>173</v>
      </c>
      <c r="L28" s="91">
        <v>5174</v>
      </c>
      <c r="M28" s="91">
        <v>6070</v>
      </c>
      <c r="N28" s="91">
        <v>4157</v>
      </c>
      <c r="O28" s="273"/>
      <c r="P28" s="91">
        <v>0</v>
      </c>
      <c r="Q28" s="91">
        <v>0</v>
      </c>
      <c r="R28" s="91">
        <f>N28+Q28-P28</f>
        <v>4157</v>
      </c>
      <c r="S28" s="85"/>
      <c r="T28" s="284">
        <v>0</v>
      </c>
      <c r="U28" s="284">
        <v>0</v>
      </c>
      <c r="V28" s="284">
        <v>0</v>
      </c>
      <c r="W28" s="284">
        <v>0</v>
      </c>
      <c r="X28" s="284">
        <v>0</v>
      </c>
      <c r="Y28" s="441"/>
      <c r="AC28" s="424" t="s">
        <v>468</v>
      </c>
      <c r="AD28" s="424"/>
      <c r="AE28" s="424"/>
      <c r="AF28" s="250">
        <v>0</v>
      </c>
    </row>
    <row r="29" spans="2:42">
      <c r="B29" s="359" t="s">
        <v>308</v>
      </c>
      <c r="C29" s="323"/>
      <c r="D29" s="323"/>
      <c r="E29" s="323"/>
      <c r="F29" s="360">
        <f>F28*F22/1000</f>
        <v>4648473.2448000005</v>
      </c>
      <c r="H29" s="269" t="s">
        <v>79</v>
      </c>
      <c r="J29" s="91">
        <v>71624</v>
      </c>
      <c r="K29" s="91">
        <v>2277</v>
      </c>
      <c r="L29" s="91">
        <v>94015</v>
      </c>
      <c r="M29" s="91">
        <v>61580</v>
      </c>
      <c r="N29" s="91">
        <v>93933</v>
      </c>
      <c r="O29" s="273"/>
      <c r="P29" s="91">
        <v>31400</v>
      </c>
      <c r="Q29" s="91">
        <v>35100</v>
      </c>
      <c r="R29" s="91">
        <f>N29+Q29-P29</f>
        <v>97633</v>
      </c>
      <c r="S29" s="85"/>
      <c r="T29" s="285">
        <f>(T24-T27)*T30</f>
        <v>106049.06471609991</v>
      </c>
      <c r="U29" s="284">
        <f t="shared" ref="U29:X29" si="11">(U24-U27)*U30</f>
        <v>119674.76272810796</v>
      </c>
      <c r="V29" s="284">
        <f t="shared" si="11"/>
        <v>134104.11983418273</v>
      </c>
      <c r="W29" s="284">
        <f t="shared" si="11"/>
        <v>149551.464664812</v>
      </c>
      <c r="X29" s="284">
        <f t="shared" si="11"/>
        <v>165710.69215449211</v>
      </c>
      <c r="Y29" s="441"/>
      <c r="AC29" s="424" t="s">
        <v>470</v>
      </c>
      <c r="AD29" s="424"/>
      <c r="AE29" s="424"/>
      <c r="AF29" s="250">
        <v>0</v>
      </c>
      <c r="AG29" s="252"/>
      <c r="AH29" s="252"/>
      <c r="AI29" s="252"/>
      <c r="AJ29" s="361"/>
      <c r="AK29" s="248"/>
      <c r="AL29" s="362"/>
      <c r="AM29" s="362"/>
      <c r="AN29" s="362"/>
      <c r="AO29" s="362"/>
      <c r="AP29" s="362"/>
    </row>
    <row r="30" spans="2:42">
      <c r="B30" s="323"/>
      <c r="C30" s="323"/>
      <c r="D30" s="323"/>
      <c r="E30" s="323"/>
      <c r="F30" s="323"/>
      <c r="H30" s="270" t="s">
        <v>273</v>
      </c>
      <c r="J30" s="286">
        <f>J29/(J24+J26-J27-J28)</f>
        <v>0.56191552124521438</v>
      </c>
      <c r="K30" s="286">
        <f t="shared" ref="K30:N30" si="12">K29/(K24+K26-K27-K28)</f>
        <v>-2.271140457619342E-2</v>
      </c>
      <c r="L30" s="286">
        <f t="shared" si="12"/>
        <v>0.31447456005673019</v>
      </c>
      <c r="M30" s="286">
        <f t="shared" si="12"/>
        <v>0.51774003699344207</v>
      </c>
      <c r="N30" s="286">
        <f t="shared" si="12"/>
        <v>0.33653267411865861</v>
      </c>
      <c r="O30" s="273"/>
      <c r="P30" s="286">
        <f t="shared" ref="P30:R30" si="13">P29/(P24+P26-P27-P28)</f>
        <v>0.35480225988700564</v>
      </c>
      <c r="Q30" s="286">
        <f t="shared" si="13"/>
        <v>0.36715481171548114</v>
      </c>
      <c r="R30" s="286">
        <f t="shared" si="13"/>
        <v>0.34111173223394592</v>
      </c>
      <c r="S30" s="85"/>
      <c r="T30" s="287">
        <f>T82</f>
        <v>0.23</v>
      </c>
      <c r="U30" s="288">
        <f t="shared" ref="U30:X30" si="14">U82</f>
        <v>0.23</v>
      </c>
      <c r="V30" s="288">
        <f t="shared" si="14"/>
        <v>0.23</v>
      </c>
      <c r="W30" s="288">
        <f t="shared" si="14"/>
        <v>0.23</v>
      </c>
      <c r="X30" s="288">
        <f t="shared" si="14"/>
        <v>0.23</v>
      </c>
      <c r="Y30" s="441"/>
      <c r="AC30" s="424" t="s">
        <v>472</v>
      </c>
      <c r="AD30" s="424"/>
      <c r="AE30" s="424"/>
      <c r="AF30" s="256">
        <f>SUM(BS!H10:H11)</f>
        <v>465065</v>
      </c>
    </row>
    <row r="31" spans="2:42">
      <c r="B31" s="357" t="s">
        <v>309</v>
      </c>
      <c r="C31" s="323"/>
      <c r="D31" s="323"/>
      <c r="E31" s="323"/>
      <c r="F31" s="363">
        <f>BS!H39</f>
        <v>1998669</v>
      </c>
      <c r="H31" s="126" t="s">
        <v>80</v>
      </c>
      <c r="I31" s="38"/>
      <c r="J31" s="131">
        <f>J24+J23+J26-J27-J28-J29</f>
        <v>168096</v>
      </c>
      <c r="K31" s="131">
        <f t="shared" ref="K31:R31" si="15">K24+K23+K26-K27-K28-K29</f>
        <v>1236</v>
      </c>
      <c r="L31" s="131">
        <f t="shared" si="15"/>
        <v>310616</v>
      </c>
      <c r="M31" s="131">
        <f t="shared" si="15"/>
        <v>159699</v>
      </c>
      <c r="N31" s="131">
        <f t="shared" si="15"/>
        <v>287674</v>
      </c>
      <c r="O31" s="229">
        <f>IFERROR((N31/J31)^(1/(MID($N$8,3,4)-MID($J$8,3,4)))-1,0)</f>
        <v>0.14376238097678828</v>
      </c>
      <c r="P31" s="131">
        <f t="shared" si="15"/>
        <v>104100</v>
      </c>
      <c r="Q31" s="131">
        <f t="shared" si="15"/>
        <v>117500</v>
      </c>
      <c r="R31" s="131">
        <f t="shared" si="15"/>
        <v>301074</v>
      </c>
      <c r="S31" s="81"/>
      <c r="T31" s="131">
        <f>T24+T27-T29</f>
        <v>360622.70886989962</v>
      </c>
      <c r="U31" s="131">
        <f t="shared" ref="U31:X31" si="16">U24+U27-U29</f>
        <v>406596.86467251589</v>
      </c>
      <c r="V31" s="131">
        <f t="shared" si="16"/>
        <v>455260.63713390596</v>
      </c>
      <c r="W31" s="131">
        <f t="shared" si="16"/>
        <v>507341.25638241135</v>
      </c>
      <c r="X31" s="131">
        <f t="shared" si="16"/>
        <v>561799.6636457172</v>
      </c>
      <c r="Y31" s="441">
        <f>IFERROR((X31/T31)^(1/(MID($X$8,3,4)-MID($T$8,3,4)))-1,0)</f>
        <v>0.117203019679603</v>
      </c>
      <c r="AC31" s="424"/>
      <c r="AD31" s="424"/>
      <c r="AE31" s="424"/>
      <c r="AF31" s="424" t="s">
        <v>474</v>
      </c>
    </row>
    <row r="32" spans="2:42">
      <c r="B32" s="357" t="s">
        <v>310</v>
      </c>
      <c r="C32" s="323"/>
      <c r="D32" s="323"/>
      <c r="E32" s="323"/>
      <c r="F32" s="364">
        <v>0</v>
      </c>
      <c r="H32" s="270" t="s">
        <v>265</v>
      </c>
      <c r="J32" s="279">
        <f>IFERROR(J31/J11,0)</f>
        <v>4.2195005809795648E-2</v>
      </c>
      <c r="K32" s="279">
        <f>IFERROR(K31/K11,0)</f>
        <v>3.5828693623796978E-4</v>
      </c>
      <c r="L32" s="279">
        <f>IFERROR(L31/L11,0)</f>
        <v>6.828581748488545E-2</v>
      </c>
      <c r="M32" s="279">
        <f>IFERROR(M31/M11,0)</f>
        <v>3.3303623340126175E-2</v>
      </c>
      <c r="N32" s="279">
        <f>IFERROR(N31/N11,0)</f>
        <v>5.5823941340171233E-2</v>
      </c>
      <c r="O32" s="273"/>
      <c r="P32" s="279">
        <f>IFERROR(P31/P11,0)</f>
        <v>8.1826756799245406E-2</v>
      </c>
      <c r="Q32" s="279">
        <f>IFERROR(Q31/Q11,0)</f>
        <v>8.6908284023668639E-2</v>
      </c>
      <c r="R32" s="279">
        <f>IFERROR(R31/R11,0)</f>
        <v>5.7533321472789126E-2</v>
      </c>
      <c r="S32" s="85"/>
      <c r="T32" s="279">
        <f>IFERROR(T31/T11,0)</f>
        <v>6.452499999999993E-2</v>
      </c>
      <c r="U32" s="279">
        <f>IFERROR(U31/U11,0)</f>
        <v>6.8374999999999977E-2</v>
      </c>
      <c r="V32" s="279">
        <f t="shared" ref="V32:X32" si="17">IFERROR(V31/V11,0)</f>
        <v>7.2224999999999998E-2</v>
      </c>
      <c r="W32" s="279">
        <f t="shared" si="17"/>
        <v>7.6074999999999948E-2</v>
      </c>
      <c r="X32" s="279">
        <f t="shared" si="17"/>
        <v>7.992500000000001E-2</v>
      </c>
      <c r="Y32" s="289"/>
      <c r="AC32" s="422" t="s">
        <v>475</v>
      </c>
      <c r="AD32" s="422"/>
      <c r="AE32" s="424"/>
      <c r="AF32" s="255">
        <f>AF26-AF27-AF28-AF29+AF30</f>
        <v>4423198.6812576707</v>
      </c>
    </row>
    <row r="33" spans="2:32">
      <c r="B33" s="357" t="s">
        <v>311</v>
      </c>
      <c r="C33" s="323"/>
      <c r="D33" s="323"/>
      <c r="E33" s="323"/>
      <c r="F33" s="364">
        <v>0</v>
      </c>
      <c r="H33" s="270"/>
      <c r="J33" s="128"/>
      <c r="K33" s="128"/>
      <c r="L33" s="128"/>
      <c r="M33" s="128"/>
      <c r="N33" s="128"/>
      <c r="O33" s="273"/>
      <c r="P33" s="128"/>
      <c r="Q33" s="128"/>
      <c r="R33" s="128"/>
      <c r="S33" s="85"/>
      <c r="T33" s="128"/>
      <c r="U33" s="128"/>
      <c r="V33" s="128"/>
      <c r="W33" s="128"/>
      <c r="X33" s="128"/>
      <c r="Y33" s="289"/>
      <c r="AC33" s="424"/>
      <c r="AD33" s="424"/>
      <c r="AE33" s="424"/>
      <c r="AF33" s="424"/>
    </row>
    <row r="34" spans="2:32">
      <c r="B34" s="357" t="s">
        <v>312</v>
      </c>
      <c r="C34" s="323"/>
      <c r="D34" s="323"/>
      <c r="E34" s="323"/>
      <c r="F34" s="365">
        <f>-SUM(BS!H10:H11)</f>
        <v>-465065</v>
      </c>
      <c r="H34" s="128" t="s">
        <v>291</v>
      </c>
      <c r="J34" s="290">
        <f>J$31*1000/J35</f>
        <v>1.6711224862814331</v>
      </c>
      <c r="K34" s="290">
        <f>K$31*1000/K35</f>
        <v>1.2545322515070017E-2</v>
      </c>
      <c r="L34" s="290">
        <f>L$31*1000/L35</f>
        <v>3.1290425315813275</v>
      </c>
      <c r="M34" s="290">
        <f>M$31*1000/M35</f>
        <v>1.6963257863252172</v>
      </c>
      <c r="N34" s="290">
        <f>N$31*1000/N35</f>
        <v>3.0497270767038578</v>
      </c>
      <c r="O34" s="229">
        <f>IFERROR((N34/J34)^(1/(MID($N$8,3,4)-MID($J$8,3,4)))-1,0)</f>
        <v>0.16228644556448502</v>
      </c>
      <c r="P34" s="290">
        <f>P31*1000/P35</f>
        <v>1.105095541401274</v>
      </c>
      <c r="Q34" s="290">
        <f>Q31*1000/Q35</f>
        <v>1.2407602956705386</v>
      </c>
      <c r="R34" s="290">
        <f>N34+Q34-P34</f>
        <v>3.1853918309731228</v>
      </c>
      <c r="S34" s="85"/>
      <c r="T34" s="290">
        <f>T31*1000/T35</f>
        <v>3.8080539479398059</v>
      </c>
      <c r="U34" s="290">
        <f t="shared" ref="U34:X34" si="18">U31*1000/U35</f>
        <v>4.2935254981258275</v>
      </c>
      <c r="V34" s="290">
        <f t="shared" si="18"/>
        <v>4.8073984913823224</v>
      </c>
      <c r="W34" s="290">
        <f t="shared" si="18"/>
        <v>5.3573522321268356</v>
      </c>
      <c r="X34" s="290">
        <f t="shared" si="18"/>
        <v>5.9324146108312261</v>
      </c>
      <c r="Y34" s="289"/>
      <c r="AC34" s="424" t="s">
        <v>307</v>
      </c>
      <c r="AD34" s="424"/>
      <c r="AE34" s="424"/>
      <c r="AF34" s="284">
        <f>N35</f>
        <v>94327785</v>
      </c>
    </row>
    <row r="35" spans="2:32">
      <c r="B35" s="359" t="s">
        <v>313</v>
      </c>
      <c r="C35" s="323"/>
      <c r="D35" s="323"/>
      <c r="E35" s="323"/>
      <c r="F35" s="365">
        <f>SUM(F29:F34)</f>
        <v>6182077.2448000005</v>
      </c>
      <c r="H35" s="128" t="s">
        <v>290</v>
      </c>
      <c r="J35" s="284">
        <v>100588677</v>
      </c>
      <c r="K35" s="284">
        <v>98522776</v>
      </c>
      <c r="L35" s="284">
        <v>99268705</v>
      </c>
      <c r="M35" s="284">
        <v>94144062</v>
      </c>
      <c r="N35" s="284">
        <v>94327785</v>
      </c>
      <c r="O35" s="268"/>
      <c r="P35" s="284">
        <v>94200000</v>
      </c>
      <c r="Q35" s="284">
        <v>94700000</v>
      </c>
      <c r="R35" s="284">
        <f>Q35</f>
        <v>94700000</v>
      </c>
      <c r="S35" s="85"/>
      <c r="T35" s="284">
        <f>R35</f>
        <v>94700000</v>
      </c>
      <c r="U35" s="284">
        <f>T35</f>
        <v>94700000</v>
      </c>
      <c r="V35" s="284">
        <f t="shared" ref="V35:X35" si="19">U35</f>
        <v>94700000</v>
      </c>
      <c r="W35" s="284">
        <f t="shared" si="19"/>
        <v>94700000</v>
      </c>
      <c r="X35" s="284">
        <f t="shared" si="19"/>
        <v>94700000</v>
      </c>
      <c r="Y35" s="289"/>
      <c r="AC35" s="424"/>
      <c r="AD35" s="424"/>
      <c r="AE35" s="424"/>
      <c r="AF35" s="284"/>
    </row>
    <row r="36" spans="2:32">
      <c r="B36" s="346"/>
      <c r="C36" s="346"/>
      <c r="D36" s="346"/>
      <c r="E36" s="346"/>
      <c r="F36" s="346"/>
      <c r="J36" s="291"/>
      <c r="K36" s="291"/>
      <c r="L36" s="291"/>
      <c r="M36" s="291"/>
      <c r="N36" s="291"/>
      <c r="O36" s="268"/>
      <c r="S36" s="85"/>
      <c r="AC36" s="436" t="s">
        <v>490</v>
      </c>
      <c r="AD36" s="424"/>
      <c r="AE36" s="424"/>
      <c r="AF36" s="282">
        <f>AF32*1000/AF34</f>
        <v>46.891789956243223</v>
      </c>
    </row>
    <row r="37" spans="2:32">
      <c r="B37" s="321" t="s">
        <v>314</v>
      </c>
      <c r="C37" s="321"/>
      <c r="D37" s="321"/>
      <c r="E37" s="321"/>
      <c r="F37" s="321"/>
      <c r="H37" s="128" t="s">
        <v>448</v>
      </c>
      <c r="J37" s="284">
        <f>CF!D9</f>
        <v>112256</v>
      </c>
      <c r="K37" s="284">
        <f>CF!E9</f>
        <v>103771</v>
      </c>
      <c r="L37" s="284">
        <f>CF!F9</f>
        <v>105672</v>
      </c>
      <c r="M37" s="284">
        <f>CF!G9</f>
        <v>102339</v>
      </c>
      <c r="N37" s="284">
        <f>CF!H9</f>
        <v>102487</v>
      </c>
      <c r="O37" s="268"/>
      <c r="P37" s="284">
        <v>47000</v>
      </c>
      <c r="Q37" s="284">
        <v>57000</v>
      </c>
      <c r="R37" s="284">
        <f>N37+Q37-P37</f>
        <v>112487</v>
      </c>
      <c r="S37" s="85"/>
      <c r="T37" s="284">
        <f>T23</f>
        <v>122955.43735200001</v>
      </c>
      <c r="U37" s="284">
        <f t="shared" ref="U37:X37" si="20">U23</f>
        <v>130824.58534252801</v>
      </c>
      <c r="V37" s="284">
        <f t="shared" si="20"/>
        <v>138674.06046307969</v>
      </c>
      <c r="W37" s="284">
        <f t="shared" si="20"/>
        <v>146717.15596993832</v>
      </c>
      <c r="X37" s="284">
        <f t="shared" si="20"/>
        <v>154639.88239231499</v>
      </c>
      <c r="AC37" s="437" t="s">
        <v>491</v>
      </c>
      <c r="AD37" s="128"/>
      <c r="AE37" s="128"/>
      <c r="AF37" s="438">
        <f>($AF$36-$F$22)/$F$22</f>
        <v>-4.8462054459350215E-2</v>
      </c>
    </row>
    <row r="38" spans="2:32">
      <c r="B38" s="323"/>
      <c r="C38" s="366" t="s">
        <v>274</v>
      </c>
      <c r="D38" s="366" t="s">
        <v>315</v>
      </c>
      <c r="E38" s="366" t="s">
        <v>316</v>
      </c>
      <c r="F38" s="366" t="s">
        <v>317</v>
      </c>
      <c r="H38" s="128" t="s">
        <v>449</v>
      </c>
      <c r="J38" s="284">
        <f>CF!D26</f>
        <v>-217433</v>
      </c>
      <c r="K38" s="284">
        <f>CF!E26</f>
        <v>-159242</v>
      </c>
      <c r="L38" s="284">
        <f>CF!F26</f>
        <v>-262429</v>
      </c>
      <c r="M38" s="284">
        <f>CF!G26</f>
        <v>-199513</v>
      </c>
      <c r="N38" s="284">
        <f>CF!H26</f>
        <v>-199625</v>
      </c>
      <c r="O38" s="268"/>
      <c r="P38" s="284">
        <v>-79000</v>
      </c>
      <c r="Q38" s="284">
        <v>-99000</v>
      </c>
      <c r="R38" s="284">
        <f>N38+Q38-P38</f>
        <v>-219625</v>
      </c>
      <c r="S38" s="85"/>
      <c r="T38" s="284">
        <f>-T11*T80</f>
        <v>-279444.17580000003</v>
      </c>
      <c r="U38" s="284">
        <f t="shared" ref="U38:X38" si="21">-U11*U80</f>
        <v>-312195.03320376005</v>
      </c>
      <c r="V38" s="284">
        <f t="shared" si="21"/>
        <v>-346685.15115769923</v>
      </c>
      <c r="W38" s="284">
        <f t="shared" si="21"/>
        <v>-383465.2940123388</v>
      </c>
      <c r="X38" s="284">
        <f t="shared" si="21"/>
        <v>-404172.41988900513</v>
      </c>
    </row>
    <row r="39" spans="2:32">
      <c r="B39" s="323"/>
      <c r="C39" s="367">
        <v>45504</v>
      </c>
      <c r="D39" s="368" t="str">
        <f>_xlfn.CONCAT(MID(T8,3,4),"E")</f>
        <v>2025E</v>
      </c>
      <c r="E39" s="368" t="str">
        <f t="shared" ref="E39:F39" si="22">_xlfn.CONCAT(MID(U8,3,4),"E")</f>
        <v>2026E</v>
      </c>
      <c r="F39" s="368" t="str">
        <f t="shared" si="22"/>
        <v>2027E</v>
      </c>
      <c r="H39" s="128" t="s">
        <v>450</v>
      </c>
      <c r="J39" s="293"/>
      <c r="K39" s="293">
        <f>NWC!D22</f>
        <v>-253130</v>
      </c>
      <c r="L39" s="293">
        <f>NWC!E22</f>
        <v>-141721</v>
      </c>
      <c r="M39" s="293">
        <f>NWC!F22</f>
        <v>-35293</v>
      </c>
      <c r="N39" s="293">
        <f>NWC!G22</f>
        <v>-176767</v>
      </c>
      <c r="O39" s="268"/>
      <c r="P39" s="456"/>
      <c r="Q39" s="457"/>
      <c r="R39" s="457"/>
      <c r="S39" s="85"/>
      <c r="T39" s="292">
        <f>NWC!J25</f>
        <v>311552.01596524124</v>
      </c>
      <c r="U39" s="293">
        <f>NWC!K25</f>
        <v>2923.0886505492963</v>
      </c>
      <c r="V39" s="293">
        <f>NWC!L25</f>
        <v>2217.1447634473443</v>
      </c>
      <c r="W39" s="293">
        <f>NWC!M25</f>
        <v>1719.6931427133968</v>
      </c>
      <c r="X39" s="293">
        <f>NWC!N25</f>
        <v>907.47312355285976</v>
      </c>
      <c r="AC39" s="853" t="s">
        <v>463</v>
      </c>
      <c r="AD39" s="853"/>
      <c r="AE39" s="853"/>
      <c r="AF39" s="853"/>
    </row>
    <row r="40" spans="2:32">
      <c r="B40" s="323" t="s">
        <v>318</v>
      </c>
      <c r="C40" s="391">
        <f>IFERROR($F$35/C41,"NA")</f>
        <v>1.1813555388200008</v>
      </c>
      <c r="D40" s="391">
        <f t="shared" ref="D40:F40" si="23">IFERROR($F$35/D41,"NA")</f>
        <v>1.1061381449625474</v>
      </c>
      <c r="E40" s="391">
        <f t="shared" si="23"/>
        <v>1.0396035197016422</v>
      </c>
      <c r="F40" s="391">
        <f t="shared" si="23"/>
        <v>0.98075803745437951</v>
      </c>
      <c r="H40" s="128"/>
      <c r="J40" s="284"/>
      <c r="K40" s="284"/>
      <c r="L40" s="284"/>
      <c r="M40" s="284"/>
      <c r="N40" s="284"/>
      <c r="O40" s="268"/>
      <c r="P40" s="128"/>
      <c r="Q40" s="128"/>
      <c r="R40" s="128"/>
      <c r="S40" s="85"/>
      <c r="T40" s="128"/>
      <c r="U40" s="128"/>
      <c r="V40" s="128"/>
      <c r="W40" s="128"/>
      <c r="X40" s="128"/>
      <c r="AC40" s="424" t="s">
        <v>465</v>
      </c>
      <c r="AD40" s="424"/>
      <c r="AE40" s="424"/>
      <c r="AF40" s="435">
        <f>X45</f>
        <v>220905.55635349581</v>
      </c>
    </row>
    <row r="41" spans="2:32">
      <c r="B41" s="323" t="s">
        <v>319</v>
      </c>
      <c r="C41" s="392">
        <f>R11</f>
        <v>5233037</v>
      </c>
      <c r="D41" s="393">
        <f>T11</f>
        <v>5588883.5160000008</v>
      </c>
      <c r="E41" s="393">
        <f t="shared" ref="E41:F41" si="24">U11</f>
        <v>5946572.0610240009</v>
      </c>
      <c r="F41" s="393">
        <f t="shared" si="24"/>
        <v>6303366.3846854409</v>
      </c>
      <c r="H41" s="126" t="s">
        <v>451</v>
      </c>
      <c r="J41" s="131">
        <f>J31+SUM(J37:J39)</f>
        <v>62919</v>
      </c>
      <c r="K41" s="131">
        <f t="shared" ref="K41:N41" si="25">K31+SUM(K37:K39)</f>
        <v>-307365</v>
      </c>
      <c r="L41" s="131">
        <f t="shared" si="25"/>
        <v>12138</v>
      </c>
      <c r="M41" s="131">
        <f t="shared" si="25"/>
        <v>27232</v>
      </c>
      <c r="N41" s="131">
        <f t="shared" si="25"/>
        <v>13769</v>
      </c>
      <c r="O41" s="268"/>
      <c r="P41" s="128"/>
      <c r="Q41" s="128"/>
      <c r="R41" s="128"/>
      <c r="S41" s="85"/>
      <c r="T41" s="131">
        <f>T31+SUM(T37:T39)</f>
        <v>515685.98638714082</v>
      </c>
      <c r="U41" s="131">
        <f t="shared" ref="U41:X41" si="26">U31+SUM(U37:U39)</f>
        <v>228149.50546183315</v>
      </c>
      <c r="V41" s="131">
        <f t="shared" si="26"/>
        <v>249466.69120273375</v>
      </c>
      <c r="W41" s="131">
        <f t="shared" si="26"/>
        <v>272312.81148272427</v>
      </c>
      <c r="X41" s="131">
        <f t="shared" si="26"/>
        <v>313174.59927257989</v>
      </c>
      <c r="AC41" s="424" t="s">
        <v>452</v>
      </c>
      <c r="AD41" s="424"/>
      <c r="AE41" s="424"/>
      <c r="AF41" s="439">
        <f>J42</f>
        <v>7.229919053892532E-2</v>
      </c>
    </row>
    <row r="42" spans="2:32">
      <c r="B42" s="323" t="s">
        <v>190</v>
      </c>
      <c r="C42" s="391">
        <f>IFERROR($F$35/C43,"NA")</f>
        <v>16.149838019827847</v>
      </c>
      <c r="D42" s="391">
        <f t="shared" ref="D42:F42" si="27">IFERROR($F$35/D43,"NA")</f>
        <v>10.534648999643318</v>
      </c>
      <c r="E42" s="391">
        <f t="shared" si="27"/>
        <v>9.4509410881967515</v>
      </c>
      <c r="F42" s="391">
        <f t="shared" si="27"/>
        <v>8.5283307604728655</v>
      </c>
      <c r="H42" s="270" t="s">
        <v>452</v>
      </c>
      <c r="J42" s="276">
        <f>WACC!D26</f>
        <v>7.229919053892532E-2</v>
      </c>
      <c r="K42" s="284"/>
      <c r="L42" s="284"/>
      <c r="M42" s="284"/>
      <c r="N42" s="284"/>
      <c r="O42" s="268"/>
      <c r="P42" s="128"/>
      <c r="Q42" s="128"/>
      <c r="R42" s="128"/>
      <c r="S42" s="85"/>
      <c r="T42" s="128"/>
      <c r="U42" s="128"/>
      <c r="V42" s="128"/>
      <c r="W42" s="128"/>
      <c r="X42" s="128"/>
      <c r="AC42" s="424" t="s">
        <v>467</v>
      </c>
      <c r="AD42" s="424"/>
      <c r="AE42" s="424"/>
      <c r="AF42" s="433">
        <f>AF15</f>
        <v>6589767.7155816052</v>
      </c>
    </row>
    <row r="43" spans="2:32">
      <c r="B43" s="323" t="s">
        <v>319</v>
      </c>
      <c r="C43" s="392">
        <f>R60</f>
        <v>382795</v>
      </c>
      <c r="D43" s="392">
        <f>T21</f>
        <v>586832.7691799996</v>
      </c>
      <c r="E43" s="392">
        <f t="shared" ref="E43:F43" si="28">U21</f>
        <v>654122.92671263986</v>
      </c>
      <c r="F43" s="392">
        <f t="shared" si="28"/>
        <v>724887.13423882565</v>
      </c>
      <c r="H43" s="270" t="s">
        <v>453</v>
      </c>
      <c r="J43" s="284"/>
      <c r="K43" s="284"/>
      <c r="L43" s="284"/>
      <c r="M43" s="284"/>
      <c r="N43" s="284"/>
      <c r="O43" s="268"/>
      <c r="P43" s="128"/>
      <c r="Q43" s="128"/>
      <c r="R43" s="128"/>
      <c r="S43" s="85"/>
      <c r="T43" s="294">
        <f>IF($C$5="Yes",0.5,1)</f>
        <v>1</v>
      </c>
      <c r="U43" s="294">
        <f>IF($C$5="Yes",1.5,2)</f>
        <v>2</v>
      </c>
      <c r="V43" s="294">
        <f>IF($C$5="Yes",2.5,3)</f>
        <v>3</v>
      </c>
      <c r="W43" s="294">
        <f>IF($C$5="Yes",3.5,4)</f>
        <v>4</v>
      </c>
      <c r="X43" s="294">
        <f>IF($C$5="Yes",4.5,5)</f>
        <v>5</v>
      </c>
      <c r="AC43" s="424"/>
      <c r="AD43" s="424"/>
      <c r="AE43" s="424"/>
      <c r="AF43" s="424"/>
    </row>
    <row r="44" spans="2:32">
      <c r="B44" s="323" t="s">
        <v>320</v>
      </c>
      <c r="C44" s="391">
        <f>IFERROR($F$35/C45,"NA")</f>
        <v>22.870493084925346</v>
      </c>
      <c r="D44" s="391">
        <f t="shared" ref="D44:F44" si="29">IFERROR($F$35/D45,"NA")</f>
        <v>13.326965601958417</v>
      </c>
      <c r="E44" s="391">
        <f t="shared" si="29"/>
        <v>11.813676360245941</v>
      </c>
      <c r="F44" s="391">
        <f t="shared" si="29"/>
        <v>10.545785348971824</v>
      </c>
      <c r="H44" s="270" t="s">
        <v>454</v>
      </c>
      <c r="J44" s="284"/>
      <c r="K44" s="284"/>
      <c r="L44" s="284"/>
      <c r="M44" s="284"/>
      <c r="N44" s="284"/>
      <c r="O44" s="268"/>
      <c r="P44" s="128"/>
      <c r="Q44" s="128"/>
      <c r="R44" s="128"/>
      <c r="S44" s="85"/>
      <c r="T44" s="128">
        <f>1/(1+$J$42)^T$43</f>
        <v>0.9325755431162932</v>
      </c>
      <c r="U44" s="128">
        <f t="shared" ref="U44:X44" si="30">1/(1+$J$42)^U$43</f>
        <v>0.86969714361864925</v>
      </c>
      <c r="V44" s="128">
        <f t="shared" si="30"/>
        <v>0.81105828605685082</v>
      </c>
      <c r="W44" s="128">
        <f t="shared" si="30"/>
        <v>0.75637312161843751</v>
      </c>
      <c r="X44" s="128">
        <f t="shared" si="30"/>
        <v>0.70537507469188054</v>
      </c>
      <c r="AC44" s="422" t="s">
        <v>463</v>
      </c>
      <c r="AD44" s="422"/>
      <c r="AE44" s="424"/>
      <c r="AF44" s="253">
        <f>($AF$41-($X$45/$AF$42))/(1+($X$45/$AF$42))</f>
        <v>3.7518950787958492E-2</v>
      </c>
    </row>
    <row r="45" spans="2:32">
      <c r="B45" s="323" t="s">
        <v>319</v>
      </c>
      <c r="C45" s="392">
        <f>R56</f>
        <v>270308</v>
      </c>
      <c r="D45" s="393">
        <f>T24</f>
        <v>463877.33182799956</v>
      </c>
      <c r="E45" s="393">
        <f t="shared" ref="E45:F45" si="31">U24</f>
        <v>523298.34137011186</v>
      </c>
      <c r="F45" s="393">
        <f t="shared" si="31"/>
        <v>586213.07377574593</v>
      </c>
      <c r="H45" s="222" t="s">
        <v>455</v>
      </c>
      <c r="I45" s="223"/>
      <c r="J45" s="224"/>
      <c r="K45" s="224"/>
      <c r="L45" s="224"/>
      <c r="M45" s="224"/>
      <c r="N45" s="224"/>
      <c r="O45" s="228"/>
      <c r="P45" s="223"/>
      <c r="Q45" s="223"/>
      <c r="R45" s="223"/>
      <c r="S45" s="225"/>
      <c r="T45" s="226">
        <f>T41*T44</f>
        <v>480916.13883244921</v>
      </c>
      <c r="U45" s="226">
        <f t="shared" ref="U45:X45" si="32">U41*U44</f>
        <v>198420.97321816371</v>
      </c>
      <c r="V45" s="226">
        <f t="shared" si="32"/>
        <v>202332.02699516292</v>
      </c>
      <c r="W45" s="226">
        <f t="shared" si="32"/>
        <v>205970.09127788123</v>
      </c>
      <c r="X45" s="226">
        <f t="shared" si="32"/>
        <v>220905.55635349581</v>
      </c>
      <c r="AC45" s="248"/>
      <c r="AD45" s="248"/>
      <c r="AE45" s="248"/>
      <c r="AF45" s="248"/>
    </row>
    <row r="46" spans="2:32">
      <c r="B46" s="323" t="s">
        <v>321</v>
      </c>
      <c r="C46" s="369">
        <f>IFERROR($F$22/C47,"NA")</f>
        <v>15.470624216721616</v>
      </c>
      <c r="D46" s="369">
        <f t="shared" ref="D46:F46" si="33">IFERROR($F$22/D47,"NA")</f>
        <v>12.940993135525551</v>
      </c>
      <c r="E46" s="369">
        <f t="shared" si="33"/>
        <v>11.47774713845563</v>
      </c>
      <c r="F46" s="369">
        <f t="shared" si="33"/>
        <v>10.250866469326116</v>
      </c>
      <c r="O46" s="268"/>
      <c r="S46" s="85"/>
      <c r="AC46" s="853" t="s">
        <v>476</v>
      </c>
      <c r="AD46" s="853"/>
      <c r="AE46" s="853"/>
      <c r="AF46" s="853"/>
    </row>
    <row r="47" spans="2:32">
      <c r="B47" s="323" t="s">
        <v>319</v>
      </c>
      <c r="C47" s="394">
        <f>R71</f>
        <v>3.1853918309731228</v>
      </c>
      <c r="D47" s="386">
        <f>T31*1000/T35</f>
        <v>3.8080539479398059</v>
      </c>
      <c r="E47" s="386">
        <f t="shared" ref="E47:F47" si="34">U31*1000/U35</f>
        <v>4.2935254981258275</v>
      </c>
      <c r="F47" s="386">
        <f t="shared" si="34"/>
        <v>4.8073984913823224</v>
      </c>
      <c r="H47" s="84" t="s">
        <v>277</v>
      </c>
      <c r="J47" s="852"/>
      <c r="K47" s="852"/>
      <c r="L47" s="852"/>
      <c r="M47" s="852"/>
      <c r="N47" s="852"/>
      <c r="O47" s="83"/>
      <c r="P47" s="80"/>
      <c r="Q47" s="80"/>
      <c r="R47" s="80"/>
      <c r="S47" s="262"/>
      <c r="T47" s="16"/>
      <c r="U47" s="16"/>
      <c r="V47" s="16"/>
      <c r="W47" s="16"/>
      <c r="X47" s="16"/>
      <c r="AC47" s="440" t="s">
        <v>159</v>
      </c>
      <c r="AD47" s="424"/>
      <c r="AE47" s="424"/>
      <c r="AF47" s="435">
        <f>AF22</f>
        <v>5956802.6812576707</v>
      </c>
    </row>
    <row r="48" spans="2:32">
      <c r="B48" s="351" t="s">
        <v>217</v>
      </c>
      <c r="C48" s="353">
        <f>IFERROR(C49/$F$29,"NA")</f>
        <v>2.9620478111609329E-3</v>
      </c>
      <c r="D48" s="353">
        <f t="shared" ref="D48:F48" si="35">IFERROR(D49/$F$29,"NA")</f>
        <v>0.1109366364459581</v>
      </c>
      <c r="E48" s="353">
        <f t="shared" si="35"/>
        <v>4.908052460386899E-2</v>
      </c>
      <c r="F48" s="353">
        <f t="shared" si="35"/>
        <v>5.3666371314882548E-2</v>
      </c>
      <c r="H48" s="126" t="s">
        <v>278</v>
      </c>
      <c r="I48" s="38"/>
      <c r="J48" s="132">
        <f>J16</f>
        <v>1239826</v>
      </c>
      <c r="K48" s="132">
        <f>K16</f>
        <v>861906</v>
      </c>
      <c r="L48" s="132">
        <f>L16</f>
        <v>1493950</v>
      </c>
      <c r="M48" s="132">
        <f>M16</f>
        <v>1427216</v>
      </c>
      <c r="N48" s="132">
        <f>N16</f>
        <v>1715404</v>
      </c>
      <c r="O48" s="229"/>
      <c r="P48" s="132">
        <f>P16</f>
        <v>455600</v>
      </c>
      <c r="Q48" s="132">
        <f>Q16</f>
        <v>493300</v>
      </c>
      <c r="R48" s="132">
        <f>R16</f>
        <v>1753104</v>
      </c>
      <c r="S48" s="85"/>
      <c r="T48" s="16"/>
      <c r="U48" s="16"/>
      <c r="V48" s="16"/>
      <c r="W48" s="16"/>
      <c r="X48" s="16"/>
      <c r="AC48" s="424" t="s">
        <v>479</v>
      </c>
      <c r="AD48" s="424"/>
      <c r="AE48" s="424"/>
      <c r="AF48" s="258">
        <f>AF47/R21</f>
        <v>15.561338787752376</v>
      </c>
    </row>
    <row r="49" spans="2:33">
      <c r="B49" s="323" t="s">
        <v>319</v>
      </c>
      <c r="C49" s="370">
        <f>N41</f>
        <v>13769</v>
      </c>
      <c r="D49" s="386">
        <f>T41</f>
        <v>515685.98638714082</v>
      </c>
      <c r="E49" s="386">
        <f t="shared" ref="E49:F49" si="36">U41</f>
        <v>228149.50546183315</v>
      </c>
      <c r="F49" s="386">
        <f t="shared" si="36"/>
        <v>249466.69120273375</v>
      </c>
      <c r="H49" s="128" t="s">
        <v>279</v>
      </c>
      <c r="I49" s="38"/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229"/>
      <c r="P49" s="92">
        <v>0</v>
      </c>
      <c r="Q49" s="92">
        <v>0</v>
      </c>
      <c r="R49" s="90">
        <f>N49+Q49-P49</f>
        <v>0</v>
      </c>
      <c r="S49" s="81"/>
      <c r="T49" s="16"/>
      <c r="U49" s="16"/>
      <c r="V49" s="16"/>
      <c r="W49" s="16"/>
      <c r="X49" s="16"/>
    </row>
    <row r="50" spans="2:33">
      <c r="B50" s="346"/>
      <c r="C50" s="346"/>
      <c r="D50" s="371"/>
      <c r="E50" s="371"/>
      <c r="F50" s="371"/>
      <c r="H50" s="129" t="s">
        <v>289</v>
      </c>
      <c r="I50" s="38"/>
      <c r="J50" s="131">
        <f>SUM(J48:J49)</f>
        <v>1239826</v>
      </c>
      <c r="K50" s="131">
        <f t="shared" ref="K50:N50" si="37">SUM(K48:K49)</f>
        <v>861906</v>
      </c>
      <c r="L50" s="131">
        <f t="shared" si="37"/>
        <v>1493950</v>
      </c>
      <c r="M50" s="131">
        <f t="shared" si="37"/>
        <v>1427216</v>
      </c>
      <c r="N50" s="131">
        <f t="shared" si="37"/>
        <v>1715404</v>
      </c>
      <c r="O50" s="229">
        <f>IFERROR((N50/J50)^(1/(MID($N$8,3,4)-MID($J$8,3,4)))-1,0)</f>
        <v>8.4554597560604572E-2</v>
      </c>
      <c r="P50" s="131">
        <f t="shared" ref="P50" si="38">SUM(P48:P49)</f>
        <v>455600</v>
      </c>
      <c r="Q50" s="131">
        <f t="shared" ref="Q50:R50" si="39">SUM(Q48:Q49)</f>
        <v>493300</v>
      </c>
      <c r="R50" s="131">
        <f t="shared" si="39"/>
        <v>1753104</v>
      </c>
      <c r="S50" s="81"/>
      <c r="T50" s="16"/>
      <c r="U50" s="16"/>
      <c r="V50" s="16"/>
      <c r="W50" s="16"/>
      <c r="X50" s="16"/>
    </row>
    <row r="51" spans="2:33">
      <c r="B51" s="321" t="s">
        <v>322</v>
      </c>
      <c r="C51" s="321"/>
      <c r="D51" s="321"/>
      <c r="E51" s="321"/>
      <c r="F51" s="321"/>
      <c r="H51" s="270" t="s">
        <v>265</v>
      </c>
      <c r="J51" s="279">
        <f>IFERROR(J50/J11,0)</f>
        <v>0.3112177878898707</v>
      </c>
      <c r="K51" s="279">
        <f>IFERROR(K50/K11,0)</f>
        <v>0.24984600328893494</v>
      </c>
      <c r="L51" s="279">
        <f>IFERROR(L50/L11,0)</f>
        <v>0.32842994897733735</v>
      </c>
      <c r="M51" s="279">
        <f>IFERROR(M50/M11,0)</f>
        <v>0.29763156994722273</v>
      </c>
      <c r="N51" s="279">
        <f>IFERROR(N50/N11,0)</f>
        <v>0.33287892639131483</v>
      </c>
      <c r="O51" s="273"/>
      <c r="P51" s="279">
        <f>IFERROR(P50/P11,0)</f>
        <v>0.35811979248545828</v>
      </c>
      <c r="Q51" s="279">
        <f>IFERROR(Q50/Q11,0)</f>
        <v>0.36486686390532547</v>
      </c>
      <c r="R51" s="279">
        <f>IFERROR(R50/R11,0)</f>
        <v>0.33500699498207254</v>
      </c>
      <c r="S51" s="85"/>
      <c r="T51" s="16"/>
      <c r="U51" s="16"/>
      <c r="V51" s="16"/>
      <c r="W51" s="16"/>
      <c r="X51" s="16"/>
      <c r="Z51" s="248"/>
      <c r="AA51" s="869" t="s">
        <v>159</v>
      </c>
      <c r="AB51" s="869"/>
      <c r="AC51" s="869"/>
      <c r="AD51" s="869"/>
      <c r="AE51" s="869"/>
      <c r="AF51" s="869"/>
      <c r="AG51" s="372"/>
    </row>
    <row r="52" spans="2:33">
      <c r="B52" s="357" t="s">
        <v>323</v>
      </c>
      <c r="C52" s="323"/>
      <c r="D52" s="323"/>
      <c r="E52" s="323"/>
      <c r="F52" s="353">
        <f>IFERROR(R56/AVERAGE(BS!D58:H58),0)</f>
        <v>8.3685982582437687E-2</v>
      </c>
      <c r="H52" s="280"/>
      <c r="I52" s="281"/>
      <c r="J52" s="283"/>
      <c r="K52" s="283"/>
      <c r="L52" s="283"/>
      <c r="M52" s="283"/>
      <c r="N52" s="283"/>
      <c r="O52" s="273"/>
      <c r="P52" s="128"/>
      <c r="Q52" s="128"/>
      <c r="R52" s="128"/>
      <c r="S52" s="268"/>
      <c r="T52" s="16"/>
      <c r="U52" s="16"/>
      <c r="V52" s="16"/>
      <c r="W52" s="16"/>
      <c r="X52" s="16"/>
      <c r="Z52" s="248"/>
      <c r="AA52" s="442"/>
      <c r="AB52" s="870" t="s">
        <v>471</v>
      </c>
      <c r="AC52" s="870"/>
      <c r="AD52" s="870"/>
      <c r="AE52" s="870"/>
      <c r="AF52" s="870"/>
    </row>
    <row r="53" spans="2:33">
      <c r="B53" s="357" t="s">
        <v>324</v>
      </c>
      <c r="C53" s="323"/>
      <c r="D53" s="323"/>
      <c r="E53" s="323"/>
      <c r="F53" s="353">
        <f>IFERROR(R68/AVERAGE(BS!D47:H47),0)</f>
        <v>0.17537591120634097</v>
      </c>
      <c r="H53" s="280" t="s">
        <v>280</v>
      </c>
      <c r="I53" s="281"/>
      <c r="J53" s="132">
        <f>J24</f>
        <v>119669</v>
      </c>
      <c r="K53" s="132">
        <f>K24</f>
        <v>-99799</v>
      </c>
      <c r="L53" s="132">
        <f>L24</f>
        <v>302894</v>
      </c>
      <c r="M53" s="132">
        <f>M24</f>
        <v>124284</v>
      </c>
      <c r="N53" s="132">
        <f>N24</f>
        <v>267308</v>
      </c>
      <c r="O53" s="295"/>
      <c r="P53" s="132">
        <f>P24</f>
        <v>85100</v>
      </c>
      <c r="Q53" s="132">
        <f>Q24</f>
        <v>88100</v>
      </c>
      <c r="R53" s="132">
        <f>R24</f>
        <v>270308</v>
      </c>
      <c r="S53" s="295"/>
      <c r="T53" s="16"/>
      <c r="U53" s="16"/>
      <c r="V53" s="16"/>
      <c r="W53" s="16"/>
      <c r="X53" s="16"/>
      <c r="Z53" s="868" t="s">
        <v>452</v>
      </c>
      <c r="AA53" s="443">
        <f>AF22</f>
        <v>5956802.6812576707</v>
      </c>
      <c r="AB53" s="444">
        <v>6.5</v>
      </c>
      <c r="AC53" s="444">
        <v>7</v>
      </c>
      <c r="AD53" s="445">
        <v>7.5</v>
      </c>
      <c r="AE53" s="444">
        <v>8</v>
      </c>
      <c r="AF53" s="444">
        <v>8.5</v>
      </c>
    </row>
    <row r="54" spans="2:33" ht="16" customHeight="1">
      <c r="B54" s="357" t="s">
        <v>325</v>
      </c>
      <c r="C54" s="323"/>
      <c r="D54" s="323"/>
      <c r="E54" s="323"/>
      <c r="F54" s="353">
        <f>IFERROR(R68/AVERAGE(BS!D24:H24),0)</f>
        <v>8.6280299294406351E-2</v>
      </c>
      <c r="H54" s="128" t="s">
        <v>282</v>
      </c>
      <c r="I54" s="38"/>
      <c r="J54" s="284">
        <v>0</v>
      </c>
      <c r="K54" s="284">
        <v>0</v>
      </c>
      <c r="L54" s="284">
        <v>0</v>
      </c>
      <c r="M54" s="284">
        <v>0</v>
      </c>
      <c r="N54" s="284">
        <v>0</v>
      </c>
      <c r="O54" s="296"/>
      <c r="P54" s="284">
        <v>0</v>
      </c>
      <c r="Q54" s="284">
        <v>0</v>
      </c>
      <c r="R54" s="284">
        <v>0</v>
      </c>
      <c r="S54" s="296"/>
      <c r="T54" s="16"/>
      <c r="U54" s="16"/>
      <c r="V54" s="16"/>
      <c r="W54" s="16"/>
      <c r="X54" s="16"/>
      <c r="Z54" s="868"/>
      <c r="AA54" s="446">
        <f>AA55-0.01</f>
        <v>6.4000000000000015E-2</v>
      </c>
      <c r="AB54" s="447">
        <f t="dataTable" ref="AB54:AF58" dt2D="1" dtr="1" r1="AF12" r2="J42" ca="1"/>
        <v>5523498.782527932</v>
      </c>
      <c r="AC54" s="448">
        <v>5845658.1081246035</v>
      </c>
      <c r="AD54" s="448">
        <v>6167817.4337212751</v>
      </c>
      <c r="AE54" s="448">
        <v>6489976.7593179476</v>
      </c>
      <c r="AF54" s="448">
        <v>6812136.0849146191</v>
      </c>
    </row>
    <row r="55" spans="2:33">
      <c r="B55" s="354" t="s">
        <v>326</v>
      </c>
      <c r="C55" s="323"/>
      <c r="D55" s="323"/>
      <c r="E55" s="323"/>
      <c r="F55" s="353">
        <f>IF(ISERROR((F26*4)/F22),"NA",(F26*4)/F22)</f>
        <v>0</v>
      </c>
      <c r="H55" s="269" t="s">
        <v>281</v>
      </c>
      <c r="J55" s="90">
        <f>IFERROR(J54/#REF!,0)</f>
        <v>0</v>
      </c>
      <c r="K55" s="90">
        <f>IFERROR(K54/#REF!,0)</f>
        <v>0</v>
      </c>
      <c r="L55" s="90">
        <f>IFERROR(L54/#REF!,0)</f>
        <v>0</v>
      </c>
      <c r="M55" s="90">
        <f>IFERROR(M54/#REF!,0)</f>
        <v>0</v>
      </c>
      <c r="N55" s="90">
        <f>IFERROR(N54/#REF!,0)</f>
        <v>0</v>
      </c>
      <c r="O55" s="296"/>
      <c r="P55" s="90">
        <f>IFERROR(P54/#REF!,0)</f>
        <v>0</v>
      </c>
      <c r="Q55" s="90">
        <f>IFERROR(Q54/#REF!,0)</f>
        <v>0</v>
      </c>
      <c r="R55" s="90">
        <f>N55+Q55-P55</f>
        <v>0</v>
      </c>
      <c r="S55" s="296"/>
      <c r="T55" s="16"/>
      <c r="U55" s="16"/>
      <c r="V55" s="16"/>
      <c r="W55" s="16"/>
      <c r="X55" s="16"/>
      <c r="Z55" s="868"/>
      <c r="AA55" s="446">
        <f>AA56-0.01</f>
        <v>7.400000000000001E-2</v>
      </c>
      <c r="AB55" s="447">
        <v>5299843.3023373475</v>
      </c>
      <c r="AC55" s="449">
        <v>5607281.2274527662</v>
      </c>
      <c r="AD55" s="449">
        <v>5914719.1525681848</v>
      </c>
      <c r="AE55" s="449">
        <v>6222157.0776836043</v>
      </c>
      <c r="AF55" s="448">
        <v>6529595.0027990229</v>
      </c>
    </row>
    <row r="56" spans="2:33">
      <c r="B56" s="346"/>
      <c r="C56" s="346"/>
      <c r="D56" s="346"/>
      <c r="E56" s="346"/>
      <c r="F56" s="346"/>
      <c r="H56" s="129" t="s">
        <v>283</v>
      </c>
      <c r="J56" s="131">
        <f>SUM(J53:J55)</f>
        <v>119669</v>
      </c>
      <c r="K56" s="131">
        <f t="shared" ref="K56:N56" si="40">SUM(K53:K55)</f>
        <v>-99799</v>
      </c>
      <c r="L56" s="131">
        <f t="shared" si="40"/>
        <v>302894</v>
      </c>
      <c r="M56" s="131">
        <f t="shared" si="40"/>
        <v>124284</v>
      </c>
      <c r="N56" s="131">
        <f t="shared" si="40"/>
        <v>267308</v>
      </c>
      <c r="O56" s="229">
        <f>IFERROR((N56/J56)^(1/(MID($N$8,3,4)-MID($J$8,3,4)))-1,0)</f>
        <v>0.22252450645341226</v>
      </c>
      <c r="P56" s="131">
        <f t="shared" ref="P56" si="41">SUM(P53:P55)</f>
        <v>85100</v>
      </c>
      <c r="Q56" s="131">
        <f t="shared" ref="Q56:R56" si="42">SUM(Q53:Q55)</f>
        <v>88100</v>
      </c>
      <c r="R56" s="131">
        <f t="shared" si="42"/>
        <v>270308</v>
      </c>
      <c r="S56" s="86"/>
      <c r="T56" s="16"/>
      <c r="U56" s="16"/>
      <c r="V56" s="16"/>
      <c r="W56" s="16"/>
      <c r="X56" s="16"/>
      <c r="Z56" s="868"/>
      <c r="AA56" s="450">
        <v>8.4000000000000005E-2</v>
      </c>
      <c r="AB56" s="447">
        <v>5087907.6807345692</v>
      </c>
      <c r="AC56" s="449">
        <v>5381424.1240638802</v>
      </c>
      <c r="AD56" s="451">
        <v>5674940.567393193</v>
      </c>
      <c r="AE56" s="449">
        <v>5968457.0107225049</v>
      </c>
      <c r="AF56" s="448">
        <v>6261973.4540518168</v>
      </c>
    </row>
    <row r="57" spans="2:33">
      <c r="B57" s="321" t="s">
        <v>327</v>
      </c>
      <c r="C57" s="321"/>
      <c r="D57" s="321"/>
      <c r="E57" s="321"/>
      <c r="F57" s="321"/>
      <c r="H57" s="270" t="s">
        <v>265</v>
      </c>
      <c r="J57" s="279">
        <f>IFERROR(J56/J11,0)</f>
        <v>3.0038990518825168E-2</v>
      </c>
      <c r="K57" s="279">
        <f>IFERROR(K56/K11,0)</f>
        <v>-2.8929351091920019E-2</v>
      </c>
      <c r="L57" s="279">
        <f>IFERROR(L56/L11,0)</f>
        <v>6.6588213103210697E-2</v>
      </c>
      <c r="M57" s="279">
        <f>IFERROR(M56/M11,0)</f>
        <v>2.5918180597275135E-2</v>
      </c>
      <c r="N57" s="279">
        <f>IFERROR(N56/N11,0)</f>
        <v>5.1871862287723232E-2</v>
      </c>
      <c r="O57" s="273"/>
      <c r="P57" s="279">
        <f>IFERROR(P56/P11,0)</f>
        <v>6.6891998113504172E-2</v>
      </c>
      <c r="Q57" s="279">
        <f>IFERROR(Q56/Q11,0)</f>
        <v>6.5162721893491121E-2</v>
      </c>
      <c r="R57" s="279">
        <f>IFERROR(R56/R11,0)</f>
        <v>5.1654135065354975E-2</v>
      </c>
      <c r="S57" s="268"/>
      <c r="T57" s="16"/>
      <c r="U57" s="16"/>
      <c r="V57" s="16"/>
      <c r="W57" s="16"/>
      <c r="X57" s="16"/>
      <c r="Z57" s="868"/>
      <c r="AA57" s="446">
        <f>AA56+0.01</f>
        <v>9.4E-2</v>
      </c>
      <c r="AB57" s="447">
        <v>4886968.0843678769</v>
      </c>
      <c r="AC57" s="449">
        <v>5167312.7115647532</v>
      </c>
      <c r="AD57" s="449">
        <v>5447657.3387616305</v>
      </c>
      <c r="AE57" s="449">
        <v>5728001.9659585068</v>
      </c>
      <c r="AF57" s="448">
        <v>6008346.5931553841</v>
      </c>
    </row>
    <row r="58" spans="2:33">
      <c r="B58" s="323" t="s">
        <v>328</v>
      </c>
      <c r="C58" s="323"/>
      <c r="D58" s="323"/>
      <c r="E58" s="323"/>
      <c r="F58" s="353">
        <f>IFERROR(BS!H39/(BS!H39+BS!H47),0)</f>
        <v>0.48615115407657455</v>
      </c>
      <c r="H58" s="270"/>
      <c r="J58" s="279"/>
      <c r="K58" s="279"/>
      <c r="L58" s="279"/>
      <c r="M58" s="279"/>
      <c r="N58" s="279"/>
      <c r="O58" s="273"/>
      <c r="P58" s="279"/>
      <c r="Q58" s="279"/>
      <c r="R58" s="279"/>
      <c r="S58" s="85"/>
      <c r="T58" s="16"/>
      <c r="U58" s="16"/>
      <c r="V58" s="16"/>
      <c r="W58" s="16"/>
      <c r="X58" s="16"/>
      <c r="Z58" s="868"/>
      <c r="AA58" s="446">
        <f>AA57+0.01</f>
        <v>0.104</v>
      </c>
      <c r="AB58" s="447">
        <v>4696351.6786598703</v>
      </c>
      <c r="AC58" s="448">
        <v>4964227.478184877</v>
      </c>
      <c r="AD58" s="448">
        <v>5232103.2777098846</v>
      </c>
      <c r="AE58" s="448">
        <v>5499979.0772348922</v>
      </c>
      <c r="AF58" s="448">
        <v>5767854.8767598998</v>
      </c>
    </row>
    <row r="59" spans="2:33">
      <c r="B59" s="323" t="s">
        <v>329</v>
      </c>
      <c r="C59" s="323"/>
      <c r="D59" s="323"/>
      <c r="E59" s="323"/>
      <c r="F59" s="375">
        <f>IFERROR(BS!H39/'IS-Metrics'!R60,0)</f>
        <v>5.2212515837458691</v>
      </c>
      <c r="H59" s="269" t="s">
        <v>272</v>
      </c>
      <c r="J59" s="278">
        <v>112256</v>
      </c>
      <c r="K59" s="278">
        <v>103771</v>
      </c>
      <c r="L59" s="278">
        <v>105672</v>
      </c>
      <c r="M59" s="278">
        <v>102339</v>
      </c>
      <c r="N59" s="278">
        <v>102487</v>
      </c>
      <c r="O59" s="273"/>
      <c r="P59" s="278">
        <v>47000</v>
      </c>
      <c r="Q59" s="278">
        <v>57000</v>
      </c>
      <c r="R59" s="278">
        <f>N59+Q59-P59</f>
        <v>112487</v>
      </c>
      <c r="S59" s="85"/>
      <c r="T59" s="16"/>
      <c r="U59" s="16"/>
      <c r="V59" s="16"/>
      <c r="W59" s="16"/>
      <c r="X59" s="16"/>
      <c r="AA59" s="297"/>
      <c r="AB59" s="297"/>
      <c r="AC59" s="297"/>
      <c r="AD59" s="297"/>
      <c r="AE59" s="297"/>
      <c r="AF59" s="297"/>
    </row>
    <row r="60" spans="2:33">
      <c r="B60" s="323" t="s">
        <v>330</v>
      </c>
      <c r="C60" s="323"/>
      <c r="D60" s="323"/>
      <c r="E60" s="323"/>
      <c r="F60" s="375">
        <f>IFERROR((BS!H39-SUM(BS!H10:H11))/'IS-Metrics'!R60,0)</f>
        <v>4.0063323711124754</v>
      </c>
      <c r="H60" s="129" t="s">
        <v>284</v>
      </c>
      <c r="J60" s="131">
        <f>J56+J59</f>
        <v>231925</v>
      </c>
      <c r="K60" s="131">
        <f t="shared" ref="K60:N60" si="43">K56+K59</f>
        <v>3972</v>
      </c>
      <c r="L60" s="131">
        <f t="shared" si="43"/>
        <v>408566</v>
      </c>
      <c r="M60" s="131">
        <f t="shared" si="43"/>
        <v>226623</v>
      </c>
      <c r="N60" s="131">
        <f t="shared" si="43"/>
        <v>369795</v>
      </c>
      <c r="O60" s="229">
        <f>IFERROR((N60/J60)^(1/(MID($N$8,3,4)-MID($J$8,3,4)))-1,0)</f>
        <v>0.12370772736686919</v>
      </c>
      <c r="P60" s="131">
        <f>P56+P59</f>
        <v>132100</v>
      </c>
      <c r="Q60" s="131">
        <f t="shared" ref="Q60:R60" si="44">Q56+Q59</f>
        <v>145100</v>
      </c>
      <c r="R60" s="131">
        <f t="shared" si="44"/>
        <v>382795</v>
      </c>
      <c r="S60" s="85"/>
      <c r="T60" s="16"/>
      <c r="U60" s="16"/>
      <c r="V60" s="16"/>
      <c r="W60" s="16"/>
      <c r="X60" s="16"/>
      <c r="Z60" s="248"/>
      <c r="AA60" s="869" t="s">
        <v>463</v>
      </c>
      <c r="AB60" s="869"/>
      <c r="AC60" s="869"/>
      <c r="AD60" s="869"/>
      <c r="AE60" s="869"/>
      <c r="AF60" s="869"/>
    </row>
    <row r="61" spans="2:33">
      <c r="B61" s="323" t="s">
        <v>331</v>
      </c>
      <c r="C61" s="323"/>
      <c r="D61" s="323"/>
      <c r="E61" s="323"/>
      <c r="F61" s="375">
        <f>IFERROR(R60/R27,0)</f>
        <v>49.960193161054555</v>
      </c>
      <c r="H61" s="270" t="s">
        <v>265</v>
      </c>
      <c r="J61" s="279">
        <f>IFERROR(J60/J11,0)</f>
        <v>5.8217189715619976E-2</v>
      </c>
      <c r="K61" s="279">
        <f>IFERROR(K60/K11,0)</f>
        <v>1.1513881154831844E-3</v>
      </c>
      <c r="L61" s="279">
        <f>IFERROR(L60/L11,0)</f>
        <v>8.9819144237675161E-2</v>
      </c>
      <c r="M61" s="279">
        <f>IFERROR(M60/M11,0)</f>
        <v>4.7259951735511271E-2</v>
      </c>
      <c r="N61" s="279">
        <f>IFERROR(N60/N11,0)</f>
        <v>7.1759750230777283E-2</v>
      </c>
      <c r="O61" s="273"/>
      <c r="P61" s="279">
        <f>IFERROR(P60/P11,0)</f>
        <v>0.10383587486244301</v>
      </c>
      <c r="Q61" s="279">
        <f>IFERROR(Q60/Q11,0)</f>
        <v>0.1073224852071006</v>
      </c>
      <c r="R61" s="279">
        <f>IFERROR(R60/R11,0)</f>
        <v>7.3149683443858707E-2</v>
      </c>
      <c r="S61" s="85"/>
      <c r="T61" s="16"/>
      <c r="U61" s="16"/>
      <c r="V61" s="16"/>
      <c r="W61" s="16"/>
      <c r="X61" s="16"/>
      <c r="Z61" s="248"/>
      <c r="AA61" s="442"/>
      <c r="AB61" s="870" t="s">
        <v>471</v>
      </c>
      <c r="AC61" s="870"/>
      <c r="AD61" s="870"/>
      <c r="AE61" s="870"/>
      <c r="AF61" s="870"/>
    </row>
    <row r="62" spans="2:33">
      <c r="B62" s="323" t="s">
        <v>332</v>
      </c>
      <c r="C62" s="323"/>
      <c r="D62" s="323"/>
      <c r="E62" s="323"/>
      <c r="F62" s="375">
        <f>IFERROR((R60+R38)/R27,0)</f>
        <v>21.296006264682852</v>
      </c>
      <c r="H62" s="270"/>
      <c r="J62" s="279"/>
      <c r="K62" s="279"/>
      <c r="L62" s="279"/>
      <c r="M62" s="279"/>
      <c r="N62" s="279"/>
      <c r="O62" s="273"/>
      <c r="P62" s="279"/>
      <c r="Q62" s="279"/>
      <c r="R62" s="279"/>
      <c r="S62" s="85"/>
      <c r="T62" s="16"/>
      <c r="U62" s="16"/>
      <c r="V62" s="16"/>
      <c r="W62" s="16"/>
      <c r="X62" s="16"/>
      <c r="Z62" s="868" t="s">
        <v>452</v>
      </c>
      <c r="AA62" s="443">
        <f>AF44</f>
        <v>3.7518950787958492E-2</v>
      </c>
      <c r="AB62" s="444">
        <f>AC62-0.5</f>
        <v>6.5</v>
      </c>
      <c r="AC62" s="444">
        <f>AD62-0.5</f>
        <v>7</v>
      </c>
      <c r="AD62" s="445">
        <v>7.5</v>
      </c>
      <c r="AE62" s="444">
        <f>AD62+0.5</f>
        <v>8</v>
      </c>
      <c r="AF62" s="444">
        <f>AE62+0.5</f>
        <v>8.5</v>
      </c>
    </row>
    <row r="63" spans="2:33">
      <c r="B63" s="323" t="s">
        <v>333</v>
      </c>
      <c r="C63" s="323"/>
      <c r="D63" s="323"/>
      <c r="E63" s="323"/>
      <c r="F63" s="375">
        <f>IFERROR(R56/R27,0)</f>
        <v>35.279039415296268</v>
      </c>
      <c r="H63" s="128" t="s">
        <v>285</v>
      </c>
      <c r="I63" s="38"/>
      <c r="J63" s="132">
        <f>J31</f>
        <v>168096</v>
      </c>
      <c r="K63" s="132">
        <f>K31</f>
        <v>1236</v>
      </c>
      <c r="L63" s="132">
        <f>L31</f>
        <v>310616</v>
      </c>
      <c r="M63" s="132">
        <f>M31</f>
        <v>159699</v>
      </c>
      <c r="N63" s="132">
        <f>N31</f>
        <v>287674</v>
      </c>
      <c r="O63" s="229"/>
      <c r="P63" s="132">
        <f>P31</f>
        <v>104100</v>
      </c>
      <c r="Q63" s="132">
        <f>Q31</f>
        <v>117500</v>
      </c>
      <c r="R63" s="132">
        <f>R31</f>
        <v>301074</v>
      </c>
      <c r="S63" s="87"/>
      <c r="T63" s="16"/>
      <c r="U63" s="16"/>
      <c r="V63" s="16"/>
      <c r="W63" s="16"/>
      <c r="X63" s="16"/>
      <c r="Z63" s="868"/>
      <c r="AA63" s="446">
        <f>AA64-0.01</f>
        <v>6.4000000000000015E-2</v>
      </c>
      <c r="AB63" s="452">
        <f t="dataTable" ref="AB63:AF67" dt2D="1" dtr="1" r1="AF12" r2="J42"/>
        <v>2.2868368198977751E-2</v>
      </c>
      <c r="AC63" s="453">
        <v>2.570058751313473E-2</v>
      </c>
      <c r="AD63" s="453">
        <v>2.816789492626336E-2</v>
      </c>
      <c r="AE63" s="453">
        <v>3.0336546676841106E-2</v>
      </c>
      <c r="AF63" s="453">
        <v>3.2257674387988426E-2</v>
      </c>
    </row>
    <row r="64" spans="2:33">
      <c r="B64" s="346"/>
      <c r="C64" s="346"/>
      <c r="D64" s="346"/>
      <c r="E64" s="346"/>
      <c r="F64" s="346"/>
      <c r="H64" s="128" t="s">
        <v>282</v>
      </c>
      <c r="I64" s="38"/>
      <c r="J64" s="132">
        <f>J49</f>
        <v>0</v>
      </c>
      <c r="K64" s="132">
        <f t="shared" ref="K64:N64" si="45">K49</f>
        <v>0</v>
      </c>
      <c r="L64" s="132">
        <f t="shared" si="45"/>
        <v>0</v>
      </c>
      <c r="M64" s="132">
        <f t="shared" si="45"/>
        <v>0</v>
      </c>
      <c r="N64" s="132">
        <f t="shared" si="45"/>
        <v>0</v>
      </c>
      <c r="O64" s="229"/>
      <c r="P64" s="132">
        <f t="shared" ref="P64:R64" si="46">P49</f>
        <v>0</v>
      </c>
      <c r="Q64" s="132">
        <f t="shared" si="46"/>
        <v>0</v>
      </c>
      <c r="R64" s="132">
        <f t="shared" si="46"/>
        <v>0</v>
      </c>
      <c r="S64" s="87"/>
      <c r="T64" s="16"/>
      <c r="U64" s="16"/>
      <c r="V64" s="16"/>
      <c r="W64" s="16"/>
      <c r="X64" s="16"/>
      <c r="Z64" s="868"/>
      <c r="AA64" s="446">
        <f>AA65-0.01</f>
        <v>7.400000000000001E-2</v>
      </c>
      <c r="AB64" s="452">
        <v>3.4308895546407717E-2</v>
      </c>
      <c r="AC64" s="454">
        <v>3.7046426674657816E-2</v>
      </c>
      <c r="AD64" s="454">
        <v>3.9430702197330747E-2</v>
      </c>
      <c r="AE64" s="454">
        <v>4.1525954810287355E-2</v>
      </c>
      <c r="AF64" s="453">
        <v>4.3381734501179686E-2</v>
      </c>
    </row>
    <row r="65" spans="2:32">
      <c r="B65" s="321" t="s">
        <v>334</v>
      </c>
      <c r="C65" s="321"/>
      <c r="D65" s="321"/>
      <c r="E65" s="321"/>
      <c r="F65" s="321"/>
      <c r="H65" s="128" t="s">
        <v>281</v>
      </c>
      <c r="I65" s="38"/>
      <c r="J65" s="132">
        <f>J55</f>
        <v>0</v>
      </c>
      <c r="K65" s="132">
        <f t="shared" ref="K65:N65" si="47">K55</f>
        <v>0</v>
      </c>
      <c r="L65" s="132">
        <f t="shared" si="47"/>
        <v>0</v>
      </c>
      <c r="M65" s="132">
        <f t="shared" si="47"/>
        <v>0</v>
      </c>
      <c r="N65" s="132">
        <f t="shared" si="47"/>
        <v>0</v>
      </c>
      <c r="O65" s="229"/>
      <c r="P65" s="132">
        <f t="shared" ref="P65:R65" si="48">P55</f>
        <v>0</v>
      </c>
      <c r="Q65" s="132">
        <f t="shared" si="48"/>
        <v>0</v>
      </c>
      <c r="R65" s="132">
        <f t="shared" si="48"/>
        <v>0</v>
      </c>
      <c r="S65" s="87"/>
      <c r="T65" s="16"/>
      <c r="U65" s="16"/>
      <c r="V65" s="16"/>
      <c r="W65" s="16"/>
      <c r="X65" s="16"/>
      <c r="Z65" s="868"/>
      <c r="AA65" s="450">
        <v>8.4000000000000005E-2</v>
      </c>
      <c r="AB65" s="452">
        <v>4.568925774021286E-2</v>
      </c>
      <c r="AC65" s="454">
        <v>4.833570733730902E-2</v>
      </c>
      <c r="AD65" s="455">
        <v>5.0640156169584997E-2</v>
      </c>
      <c r="AE65" s="454">
        <v>5.2664875718693556E-2</v>
      </c>
      <c r="AF65" s="453">
        <v>5.4457884665154714E-2</v>
      </c>
    </row>
    <row r="66" spans="2:32">
      <c r="B66" s="323"/>
      <c r="C66" s="380" t="s">
        <v>166</v>
      </c>
      <c r="D66" s="380" t="s">
        <v>75</v>
      </c>
      <c r="E66" s="380" t="s">
        <v>335</v>
      </c>
      <c r="F66" s="380" t="s">
        <v>167</v>
      </c>
      <c r="H66" s="128" t="s">
        <v>286</v>
      </c>
      <c r="I66" s="38"/>
      <c r="J66" s="93">
        <v>0</v>
      </c>
      <c r="K66" s="93">
        <v>0</v>
      </c>
      <c r="L66" s="93">
        <v>0</v>
      </c>
      <c r="M66" s="93">
        <v>0</v>
      </c>
      <c r="N66" s="93">
        <v>0</v>
      </c>
      <c r="O66" s="229"/>
      <c r="P66" s="93">
        <v>0</v>
      </c>
      <c r="Q66" s="93">
        <v>0</v>
      </c>
      <c r="R66" s="91">
        <v>0</v>
      </c>
      <c r="S66" s="87"/>
      <c r="T66" s="16"/>
      <c r="U66" s="16"/>
      <c r="V66" s="16"/>
      <c r="W66" s="16"/>
      <c r="X66" s="16"/>
      <c r="Z66" s="868"/>
      <c r="AA66" s="446">
        <f>AA65+0.01</f>
        <v>9.4E-2</v>
      </c>
      <c r="AB66" s="452">
        <v>5.7012264173008143E-2</v>
      </c>
      <c r="AC66" s="454">
        <v>5.957110041956297E-2</v>
      </c>
      <c r="AD66" s="454">
        <v>6.1798800863777925E-2</v>
      </c>
      <c r="AE66" s="454">
        <v>6.3755737010932179E-2</v>
      </c>
      <c r="AF66" s="453">
        <v>6.548844551496312E-2</v>
      </c>
    </row>
    <row r="67" spans="2:32">
      <c r="B67" s="359" t="s">
        <v>336</v>
      </c>
      <c r="C67" s="323"/>
      <c r="D67" s="323"/>
      <c r="E67" s="323"/>
      <c r="F67" s="323"/>
      <c r="H67" s="128" t="s">
        <v>287</v>
      </c>
      <c r="I67" s="38"/>
      <c r="J67" s="130">
        <f>-SUM(J64:J66)*$F$17</f>
        <v>0</v>
      </c>
      <c r="K67" s="130">
        <f t="shared" ref="K67:N67" si="49">-SUM(K64:K66)*$F$17</f>
        <v>0</v>
      </c>
      <c r="L67" s="130">
        <f t="shared" si="49"/>
        <v>0</v>
      </c>
      <c r="M67" s="130">
        <f t="shared" si="49"/>
        <v>0</v>
      </c>
      <c r="N67" s="130">
        <f t="shared" si="49"/>
        <v>0</v>
      </c>
      <c r="O67" s="229"/>
      <c r="P67" s="130">
        <f t="shared" ref="P67:R67" si="50">-SUM(P64:P66)*$F$17</f>
        <v>0</v>
      </c>
      <c r="Q67" s="130">
        <f t="shared" si="50"/>
        <v>0</v>
      </c>
      <c r="R67" s="130">
        <f t="shared" si="50"/>
        <v>0</v>
      </c>
      <c r="S67" s="87"/>
      <c r="T67" s="16"/>
      <c r="U67" s="16"/>
      <c r="V67" s="16"/>
      <c r="W67" s="16"/>
      <c r="X67" s="16"/>
      <c r="Z67" s="868"/>
      <c r="AA67" s="446">
        <f>AA66+0.01</f>
        <v>0.104</v>
      </c>
      <c r="AB67" s="452">
        <v>6.8280588033676773E-2</v>
      </c>
      <c r="AC67" s="453">
        <v>7.0755144459661148E-2</v>
      </c>
      <c r="AD67" s="453">
        <v>7.2909051853186579E-2</v>
      </c>
      <c r="AE67" s="453">
        <v>7.480084177845181E-2</v>
      </c>
      <c r="AF67" s="453">
        <v>7.6475617026917714E-2</v>
      </c>
    </row>
    <row r="68" spans="2:32">
      <c r="B68" s="323" t="s">
        <v>337</v>
      </c>
      <c r="C68" s="353">
        <f>IFERROR((N11-M11)/M11,0)</f>
        <v>7.4655846501241643E-2</v>
      </c>
      <c r="D68" s="353">
        <f>IFERROR((N60-M60)/M60,0)</f>
        <v>0.63176288373201306</v>
      </c>
      <c r="E68" s="353">
        <f>IFERROR((N41-M41)/M41,0)</f>
        <v>-0.49438160987074031</v>
      </c>
      <c r="F68" s="353">
        <f>IFERROR((N71-M71)/M71,0)</f>
        <v>0.79784278544190468</v>
      </c>
      <c r="H68" s="126" t="s">
        <v>288</v>
      </c>
      <c r="I68" s="38"/>
      <c r="J68" s="131">
        <f>SUM(J63:J67)</f>
        <v>168096</v>
      </c>
      <c r="K68" s="131">
        <f t="shared" ref="K68:N68" si="51">SUM(K63:K67)</f>
        <v>1236</v>
      </c>
      <c r="L68" s="131">
        <f t="shared" si="51"/>
        <v>310616</v>
      </c>
      <c r="M68" s="131">
        <f t="shared" si="51"/>
        <v>159699</v>
      </c>
      <c r="N68" s="131">
        <f t="shared" si="51"/>
        <v>287674</v>
      </c>
      <c r="O68" s="229">
        <f>IFERROR((N68/J68)^(1/(MID($N$8,3,4)-MID($J$8,3,4)))-1,0)</f>
        <v>0.14376238097678828</v>
      </c>
      <c r="P68" s="131">
        <f t="shared" ref="P68" si="52">SUM(P63:P67)</f>
        <v>104100</v>
      </c>
      <c r="Q68" s="131">
        <f t="shared" ref="Q68:R68" si="53">SUM(Q63:Q67)</f>
        <v>117500</v>
      </c>
      <c r="R68" s="131">
        <f t="shared" si="53"/>
        <v>301074</v>
      </c>
      <c r="S68" s="87"/>
      <c r="T68" s="16"/>
      <c r="U68" s="16"/>
      <c r="V68" s="16"/>
      <c r="W68" s="16"/>
      <c r="X68" s="16"/>
      <c r="AA68" s="297"/>
      <c r="AB68" s="297"/>
      <c r="AC68" s="297"/>
      <c r="AD68" s="297"/>
      <c r="AE68" s="297"/>
      <c r="AF68" s="297"/>
    </row>
    <row r="69" spans="2:32">
      <c r="B69" s="323" t="s">
        <v>338</v>
      </c>
      <c r="C69" s="353">
        <f>IFERROR((N11/L11)^0.5-1,0)</f>
        <v>6.4371907024585395E-2</v>
      </c>
      <c r="D69" s="353">
        <f>IFERROR((N60/L60)^0.5-1,0)</f>
        <v>-4.8630101795795966E-2</v>
      </c>
      <c r="E69" s="353">
        <f>IFERROR((N41/L41)^0.5-1,0)</f>
        <v>6.5068728119021646E-2</v>
      </c>
      <c r="F69" s="353">
        <f>IFERROR((N71/L71)^0.5-1,0)</f>
        <v>-1.2755427936624208E-2</v>
      </c>
      <c r="H69" s="270" t="s">
        <v>265</v>
      </c>
      <c r="J69" s="279">
        <f>IFERROR(J63/J11,0)</f>
        <v>4.2195005809795648E-2</v>
      </c>
      <c r="K69" s="279">
        <f>IFERROR(K63/K11,0)</f>
        <v>3.5828693623796978E-4</v>
      </c>
      <c r="L69" s="279">
        <f>IFERROR(L63/L11,0)</f>
        <v>6.828581748488545E-2</v>
      </c>
      <c r="M69" s="279">
        <f>IFERROR(M63/M11,0)</f>
        <v>3.3303623340126175E-2</v>
      </c>
      <c r="N69" s="279">
        <f>IFERROR(N63/N11,0)</f>
        <v>5.5823941340171233E-2</v>
      </c>
      <c r="O69" s="273"/>
      <c r="P69" s="279">
        <f>IFERROR(P63/P11,0)</f>
        <v>8.1826756799245406E-2</v>
      </c>
      <c r="Q69" s="279">
        <f>IFERROR(Q63/Q11,0)</f>
        <v>8.6908284023668639E-2</v>
      </c>
      <c r="R69" s="279">
        <f>IFERROR(R63/R11,0)</f>
        <v>5.7533321472789126E-2</v>
      </c>
      <c r="S69" s="262"/>
      <c r="T69" s="16"/>
      <c r="U69" s="16"/>
      <c r="V69" s="16"/>
      <c r="W69" s="16"/>
      <c r="X69" s="16"/>
    </row>
    <row r="70" spans="2:32">
      <c r="B70" s="359" t="s">
        <v>339</v>
      </c>
      <c r="C70" s="353"/>
      <c r="D70" s="353"/>
      <c r="E70" s="353"/>
      <c r="F70" s="353"/>
      <c r="H70" s="270"/>
      <c r="J70" s="128"/>
      <c r="K70" s="128"/>
      <c r="L70" s="128"/>
      <c r="M70" s="128"/>
      <c r="N70" s="128"/>
      <c r="O70" s="273"/>
      <c r="P70" s="128"/>
      <c r="Q70" s="128"/>
      <c r="R70" s="128"/>
      <c r="S70" s="262"/>
      <c r="T70" s="16"/>
      <c r="U70" s="16"/>
      <c r="V70" s="16"/>
      <c r="W70" s="16"/>
      <c r="X70" s="16"/>
    </row>
    <row r="71" spans="2:32">
      <c r="B71" s="323" t="s">
        <v>337</v>
      </c>
      <c r="C71" s="353">
        <f>IFERROR((T11-N11)/N11,0)</f>
        <v>8.4538420414198054E-2</v>
      </c>
      <c r="D71" s="353">
        <f>IFERROR((T21-N21)/N21,0)</f>
        <v>0.58691374729241763</v>
      </c>
      <c r="E71" s="353">
        <f>IFERROR((T41-N41)/N41,0)</f>
        <v>36.452682575869041</v>
      </c>
      <c r="F71" s="353">
        <f>IFERROR((T34-N34)/N34,0)</f>
        <v>0.24865401137978127</v>
      </c>
      <c r="H71" s="128" t="s">
        <v>292</v>
      </c>
      <c r="J71" s="290">
        <f>J68*1000/J35</f>
        <v>1.6711224862814331</v>
      </c>
      <c r="K71" s="290">
        <f>K68*1000/K35</f>
        <v>1.2545322515070017E-2</v>
      </c>
      <c r="L71" s="290">
        <f>L68*1000/L35</f>
        <v>3.1290425315813275</v>
      </c>
      <c r="M71" s="290">
        <f>M68*1000/M35</f>
        <v>1.6963257863252172</v>
      </c>
      <c r="N71" s="290">
        <f>N68*1000/N35</f>
        <v>3.0497270767038578</v>
      </c>
      <c r="O71" s="268"/>
      <c r="P71" s="290">
        <f t="shared" ref="P71:Q71" si="54">P68*1000/P35</f>
        <v>1.105095541401274</v>
      </c>
      <c r="Q71" s="290">
        <f t="shared" si="54"/>
        <v>1.2407602956705386</v>
      </c>
      <c r="R71" s="290">
        <f>N71+Q71-P71</f>
        <v>3.1853918309731228</v>
      </c>
      <c r="S71" s="262"/>
    </row>
    <row r="72" spans="2:32">
      <c r="B72" s="323" t="s">
        <v>338</v>
      </c>
      <c r="C72" s="353">
        <f>IFERROR((U11/N11)^0.5-1,0)</f>
        <v>7.4220126101120165E-2</v>
      </c>
      <c r="D72" s="353">
        <f>IFERROR((U21/N21)^0.5-1,0)</f>
        <v>0.32999242741526502</v>
      </c>
      <c r="E72" s="353">
        <f>IFERROR((U41/N41)^0.5-1,0)</f>
        <v>3.0706012900436628</v>
      </c>
      <c r="F72" s="353">
        <f>IFERROR((U34/N34)^0.5-1,0)</f>
        <v>0.18652402243765276</v>
      </c>
      <c r="O72" s="268"/>
      <c r="S72" s="262"/>
    </row>
    <row r="73" spans="2:32">
      <c r="B73" s="323" t="s">
        <v>340</v>
      </c>
      <c r="C73" s="351"/>
      <c r="D73" s="351"/>
      <c r="E73" s="351"/>
      <c r="F73" s="381">
        <v>0.12</v>
      </c>
      <c r="O73" s="268"/>
      <c r="S73" s="262"/>
    </row>
    <row r="74" spans="2:32">
      <c r="B74" s="297"/>
      <c r="C74" s="297"/>
      <c r="D74" s="297"/>
      <c r="E74" s="297"/>
      <c r="F74" s="297"/>
      <c r="O74" s="268"/>
      <c r="S74" s="262"/>
    </row>
    <row r="75" spans="2:32">
      <c r="B75" s="297"/>
      <c r="C75" s="297"/>
      <c r="D75" s="297"/>
      <c r="E75" s="297"/>
      <c r="F75" s="297"/>
      <c r="H75" s="38" t="s">
        <v>266</v>
      </c>
      <c r="O75" s="268"/>
      <c r="S75" s="262"/>
    </row>
    <row r="76" spans="2:32">
      <c r="B76" s="297"/>
      <c r="C76" s="297"/>
      <c r="D76" s="297"/>
      <c r="E76" s="297"/>
      <c r="F76" s="297"/>
      <c r="G76" s="298"/>
      <c r="H76" s="382" t="s">
        <v>247</v>
      </c>
      <c r="I76" s="299"/>
      <c r="J76" s="300" t="str">
        <f>J12</f>
        <v>NA</v>
      </c>
      <c r="K76" s="300">
        <f>K12</f>
        <v>-0.13405328444854886</v>
      </c>
      <c r="L76" s="300">
        <f>L12</f>
        <v>0.31857796030957614</v>
      </c>
      <c r="M76" s="300">
        <f>M12</f>
        <v>5.4186379901524875E-2</v>
      </c>
      <c r="N76" s="300">
        <f>N12</f>
        <v>7.4655846501241643E-2</v>
      </c>
      <c r="O76" s="301"/>
      <c r="P76" s="300" t="str">
        <f>P12</f>
        <v>NA</v>
      </c>
      <c r="Q76" s="300">
        <f>Q12</f>
        <v>6.2725986480113197E-2</v>
      </c>
      <c r="R76" s="300" t="str">
        <f>R12</f>
        <v>NA</v>
      </c>
      <c r="S76" s="302"/>
      <c r="T76" s="303">
        <f>'AS1'!F$9</f>
        <v>6.8000000000000005E-2</v>
      </c>
      <c r="U76" s="303">
        <f>'AS1'!G$9</f>
        <v>6.4000000000000001E-2</v>
      </c>
      <c r="V76" s="303">
        <f>'AS1'!H$9</f>
        <v>0.06</v>
      </c>
      <c r="W76" s="303">
        <f>'AS1'!I$9</f>
        <v>5.8000000000000003E-2</v>
      </c>
      <c r="X76" s="304">
        <f>'AS1'!J$9</f>
        <v>5.3999999999999999E-2</v>
      </c>
    </row>
    <row r="77" spans="2:32">
      <c r="B77" s="297"/>
      <c r="C77" s="297"/>
      <c r="D77" s="297"/>
      <c r="E77" s="297"/>
      <c r="F77" s="297"/>
      <c r="G77" s="298"/>
      <c r="H77" s="383" t="s">
        <v>267</v>
      </c>
      <c r="I77" s="305"/>
      <c r="J77" s="306">
        <f>J15/J11</f>
        <v>0.68878221211012935</v>
      </c>
      <c r="K77" s="306">
        <f>K15/K11</f>
        <v>0.75015399671106509</v>
      </c>
      <c r="L77" s="306">
        <f>L15/L11</f>
        <v>0.67157005102266265</v>
      </c>
      <c r="M77" s="306">
        <f>M15/M11</f>
        <v>0.70236843005277727</v>
      </c>
      <c r="N77" s="306">
        <f>N15/N11</f>
        <v>0.66712107360868522</v>
      </c>
      <c r="O77" s="307"/>
      <c r="P77" s="306">
        <f>P15/P11</f>
        <v>0.64188020751454178</v>
      </c>
      <c r="Q77" s="306">
        <f>Q15/Q11</f>
        <v>0.63513313609467459</v>
      </c>
      <c r="R77" s="306">
        <f>R15/R11</f>
        <v>0.66499300501792746</v>
      </c>
      <c r="S77" s="308"/>
      <c r="T77" s="309">
        <f>'AS1'!F$16</f>
        <v>0.67</v>
      </c>
      <c r="U77" s="309">
        <f>'AS1'!G$16</f>
        <v>0.66500000000000004</v>
      </c>
      <c r="V77" s="309">
        <f>'AS1'!H$16</f>
        <v>0.66</v>
      </c>
      <c r="W77" s="309">
        <f>'AS1'!I$16</f>
        <v>0.65500000000000003</v>
      </c>
      <c r="X77" s="310">
        <f>'AS1'!J$16</f>
        <v>0.65</v>
      </c>
    </row>
    <row r="78" spans="2:32">
      <c r="B78" s="297"/>
      <c r="C78" s="297"/>
      <c r="D78" s="297"/>
      <c r="E78" s="297"/>
      <c r="F78" s="297"/>
      <c r="H78" s="383" t="s">
        <v>254</v>
      </c>
      <c r="I78" s="305"/>
      <c r="J78" s="306">
        <f>J20/J11</f>
        <v>0.25300059817425069</v>
      </c>
      <c r="K78" s="306">
        <f>K20/K11</f>
        <v>0.24869461517345176</v>
      </c>
      <c r="L78" s="306">
        <f>L20/L11</f>
        <v>0.2386108047396622</v>
      </c>
      <c r="M78" s="306">
        <f>M20/M11</f>
        <v>0.25037161821171144</v>
      </c>
      <c r="N78" s="306">
        <f>N20/N11</f>
        <v>0.26111917616053754</v>
      </c>
      <c r="O78" s="307"/>
      <c r="P78" s="306">
        <f>P20/P11</f>
        <v>0.25428391762301528</v>
      </c>
      <c r="Q78" s="306">
        <f>Q20/Q11</f>
        <v>0.25754437869822483</v>
      </c>
      <c r="R78" s="306">
        <f>R20/R11</f>
        <v>0.26185731153821384</v>
      </c>
      <c r="S78" s="308"/>
      <c r="T78" s="309">
        <f>'AS1'!F$23</f>
        <v>0.22500000000000001</v>
      </c>
      <c r="U78" s="309">
        <f>'AS1'!G$23</f>
        <v>0.22500000000000001</v>
      </c>
      <c r="V78" s="309">
        <f>'AS1'!H$23</f>
        <v>0.22500000000000001</v>
      </c>
      <c r="W78" s="309">
        <f>'AS1'!I$23</f>
        <v>0.22500000000000001</v>
      </c>
      <c r="X78" s="310">
        <f>'AS1'!J$23</f>
        <v>0.22500000000000001</v>
      </c>
    </row>
    <row r="79" spans="2:32">
      <c r="B79" s="297"/>
      <c r="C79" s="297"/>
      <c r="D79" s="297"/>
      <c r="E79" s="297"/>
      <c r="F79" s="297"/>
      <c r="H79" s="384" t="s">
        <v>255</v>
      </c>
      <c r="I79" s="305"/>
      <c r="J79" s="306">
        <f>J23/J11</f>
        <v>2.8178199196794811E-2</v>
      </c>
      <c r="K79" s="306">
        <f>K23/K11</f>
        <v>3.0080739207403204E-2</v>
      </c>
      <c r="L79" s="306">
        <f>L23/L11</f>
        <v>2.3230931134464467E-2</v>
      </c>
      <c r="M79" s="306">
        <f>M23/M11</f>
        <v>2.1341771138236137E-2</v>
      </c>
      <c r="N79" s="306">
        <f>N23/N11</f>
        <v>1.9887887943054045E-2</v>
      </c>
      <c r="O79" s="307"/>
      <c r="P79" s="306">
        <f>P23/P11</f>
        <v>3.6943876748938849E-2</v>
      </c>
      <c r="Q79" s="306">
        <f>Q23/Q11</f>
        <v>4.2159763313609468E-2</v>
      </c>
      <c r="R79" s="306">
        <f>R23/R11</f>
        <v>2.1495548378503725E-2</v>
      </c>
      <c r="S79" s="308"/>
      <c r="T79" s="309">
        <f>'AS1'!F$30</f>
        <v>2.1999999999999999E-2</v>
      </c>
      <c r="U79" s="309">
        <f>'AS1'!G$30</f>
        <v>2.1999999999999999E-2</v>
      </c>
      <c r="V79" s="309">
        <f>'AS1'!H$30</f>
        <v>2.1999999999999999E-2</v>
      </c>
      <c r="W79" s="309">
        <f>'AS1'!I$30</f>
        <v>2.1999999999999999E-2</v>
      </c>
      <c r="X79" s="310">
        <f>'AS1'!J$30</f>
        <v>2.1999999999999999E-2</v>
      </c>
    </row>
    <row r="80" spans="2:32">
      <c r="B80" s="297"/>
      <c r="C80" s="297"/>
      <c r="D80" s="297"/>
      <c r="E80" s="297"/>
      <c r="F80" s="297"/>
      <c r="H80" s="383" t="s">
        <v>268</v>
      </c>
      <c r="I80" s="305"/>
      <c r="J80" s="306">
        <f>-J38/J11</f>
        <v>5.4579446853234445E-2</v>
      </c>
      <c r="K80" s="306">
        <f t="shared" ref="K80:N80" si="55">-K38/K11</f>
        <v>4.6160459789973123E-2</v>
      </c>
      <c r="L80" s="306">
        <f t="shared" si="55"/>
        <v>5.7692388018456886E-2</v>
      </c>
      <c r="M80" s="306">
        <f t="shared" si="55"/>
        <v>4.1606433374401806E-2</v>
      </c>
      <c r="N80" s="306">
        <f t="shared" si="55"/>
        <v>3.8737787530439605E-2</v>
      </c>
      <c r="O80" s="307"/>
      <c r="P80" s="306"/>
      <c r="Q80" s="306"/>
      <c r="R80" s="306"/>
      <c r="S80" s="308"/>
      <c r="T80" s="309">
        <f>'AS1'!F$45</f>
        <v>0.05</v>
      </c>
      <c r="U80" s="309">
        <f>'AS1'!G$45</f>
        <v>5.2499999999999998E-2</v>
      </c>
      <c r="V80" s="309">
        <f>'AS1'!H$45</f>
        <v>5.5E-2</v>
      </c>
      <c r="W80" s="309">
        <f>'AS1'!I$45</f>
        <v>5.7500000000000002E-2</v>
      </c>
      <c r="X80" s="310">
        <f>'AS1'!J$45</f>
        <v>5.7500000000000002E-2</v>
      </c>
    </row>
    <row r="81" spans="2:24">
      <c r="B81" s="297"/>
      <c r="C81" s="297"/>
      <c r="D81" s="297"/>
      <c r="E81" s="297"/>
      <c r="F81" s="297"/>
      <c r="H81" s="383" t="s">
        <v>271</v>
      </c>
      <c r="I81" s="305"/>
      <c r="J81" s="306">
        <f>J29/J11</f>
        <v>1.79788638404293E-2</v>
      </c>
      <c r="K81" s="306">
        <f>K29/K11</f>
        <v>6.6004802088499772E-4</v>
      </c>
      <c r="L81" s="306">
        <f>L29/L11</f>
        <v>2.0668256402894589E-2</v>
      </c>
      <c r="M81" s="306">
        <f>M29/M11</f>
        <v>1.2841890840174138E-2</v>
      </c>
      <c r="N81" s="306">
        <f>N29/N11</f>
        <v>1.8227960406245629E-2</v>
      </c>
      <c r="O81" s="307"/>
      <c r="P81" s="306">
        <f>P29/P11</f>
        <v>2.4681653828014464E-2</v>
      </c>
      <c r="Q81" s="306">
        <f>Q29/Q11</f>
        <v>2.5961538461538463E-2</v>
      </c>
      <c r="R81" s="306">
        <f>R29/R11</f>
        <v>1.8657043701391755E-2</v>
      </c>
      <c r="S81" s="308"/>
      <c r="T81" s="309">
        <f>'AS1'!F$52</f>
        <v>5.0000000000000001E-4</v>
      </c>
      <c r="U81" s="309">
        <f>'AS1'!G$52</f>
        <v>5.0000000000000001E-4</v>
      </c>
      <c r="V81" s="309">
        <f>'AS1'!H$52</f>
        <v>5.0000000000000001E-4</v>
      </c>
      <c r="W81" s="309">
        <f>'AS1'!I$52</f>
        <v>5.0000000000000001E-4</v>
      </c>
      <c r="X81" s="310">
        <f>'AS1'!J$52</f>
        <v>5.0000000000000001E-4</v>
      </c>
    </row>
    <row r="82" spans="2:24">
      <c r="B82" s="297"/>
      <c r="C82" s="297"/>
      <c r="D82" s="297"/>
      <c r="E82" s="297"/>
      <c r="F82" s="297"/>
      <c r="H82" s="383" t="s">
        <v>269</v>
      </c>
      <c r="I82" s="305"/>
      <c r="J82" s="306">
        <f>J30</f>
        <v>0.56191552124521438</v>
      </c>
      <c r="K82" s="306">
        <f>K30</f>
        <v>-2.271140457619342E-2</v>
      </c>
      <c r="L82" s="306">
        <f>L30</f>
        <v>0.31447456005673019</v>
      </c>
      <c r="M82" s="306">
        <f>M30</f>
        <v>0.51774003699344207</v>
      </c>
      <c r="N82" s="306">
        <f>N30</f>
        <v>0.33653267411865861</v>
      </c>
      <c r="O82" s="307"/>
      <c r="P82" s="306">
        <f>P30</f>
        <v>0.35480225988700564</v>
      </c>
      <c r="Q82" s="306">
        <f>Q30</f>
        <v>0.36715481171548114</v>
      </c>
      <c r="R82" s="306">
        <f>R30</f>
        <v>0.34111173223394592</v>
      </c>
      <c r="S82" s="308"/>
      <c r="T82" s="309">
        <f>'AS1'!F$37</f>
        <v>0.23</v>
      </c>
      <c r="U82" s="309">
        <f>'AS1'!G$37</f>
        <v>0.23</v>
      </c>
      <c r="V82" s="309">
        <f>'AS1'!H$37</f>
        <v>0.23</v>
      </c>
      <c r="W82" s="309">
        <f>'AS1'!I$37</f>
        <v>0.23</v>
      </c>
      <c r="X82" s="310">
        <f>'AS1'!J$37</f>
        <v>0.23</v>
      </c>
    </row>
    <row r="83" spans="2:24">
      <c r="B83" s="297"/>
      <c r="C83" s="297"/>
      <c r="D83" s="297"/>
      <c r="E83" s="297"/>
      <c r="F83" s="297"/>
      <c r="H83" s="385" t="s">
        <v>270</v>
      </c>
      <c r="I83" s="311"/>
      <c r="J83" s="312"/>
      <c r="K83" s="312"/>
      <c r="L83" s="312"/>
      <c r="M83" s="312"/>
      <c r="N83" s="312"/>
      <c r="O83" s="313"/>
      <c r="P83" s="314"/>
      <c r="Q83" s="314"/>
      <c r="R83" s="314"/>
      <c r="S83" s="315"/>
      <c r="T83" s="316">
        <f>NWC!J23</f>
        <v>0.114</v>
      </c>
      <c r="U83" s="316">
        <f>NWC!K23</f>
        <v>0.114</v>
      </c>
      <c r="V83" s="316">
        <f>NWC!L23</f>
        <v>0.114</v>
      </c>
      <c r="W83" s="316">
        <f>NWC!M23</f>
        <v>0.114</v>
      </c>
      <c r="X83" s="317">
        <f>NWC!N23</f>
        <v>0.114</v>
      </c>
    </row>
    <row r="84" spans="2:24">
      <c r="B84" s="297"/>
      <c r="C84" s="297"/>
      <c r="D84" s="297"/>
      <c r="E84" s="297"/>
      <c r="F84" s="297"/>
      <c r="H84" s="298"/>
      <c r="I84" s="298"/>
      <c r="J84" s="298"/>
      <c r="K84" s="298"/>
      <c r="L84" s="298"/>
      <c r="M84" s="298"/>
      <c r="N84" s="298"/>
      <c r="O84" s="318"/>
      <c r="P84" s="318"/>
      <c r="Q84" s="318"/>
      <c r="R84" s="318"/>
      <c r="S84" s="318"/>
    </row>
    <row r="85" spans="2:24">
      <c r="B85" s="297"/>
      <c r="C85" s="297"/>
      <c r="D85" s="297"/>
      <c r="E85" s="297"/>
      <c r="F85" s="297"/>
      <c r="H85" s="298"/>
      <c r="I85" s="298"/>
      <c r="J85" s="298"/>
      <c r="K85" s="298"/>
      <c r="L85" s="298"/>
      <c r="M85" s="298"/>
      <c r="N85" s="298"/>
      <c r="O85" s="319"/>
      <c r="P85" s="319"/>
      <c r="Q85" s="319"/>
      <c r="R85" s="319"/>
      <c r="S85" s="319"/>
    </row>
    <row r="86" spans="2:24">
      <c r="B86" s="297"/>
      <c r="C86" s="297"/>
      <c r="D86" s="297"/>
      <c r="E86" s="297"/>
      <c r="F86" s="297"/>
      <c r="H86" s="84" t="s">
        <v>389</v>
      </c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2:24">
      <c r="B87" s="297"/>
      <c r="C87" s="297"/>
      <c r="D87" s="297"/>
      <c r="E87" s="297"/>
      <c r="F87" s="297"/>
      <c r="H87" s="320" t="s">
        <v>390</v>
      </c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</row>
    <row r="88" spans="2:24">
      <c r="B88" s="297"/>
      <c r="C88" s="297"/>
      <c r="D88" s="297"/>
      <c r="E88" s="297"/>
      <c r="F88" s="297"/>
      <c r="H88" s="320" t="s">
        <v>391</v>
      </c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</row>
    <row r="89" spans="2:24">
      <c r="B89" s="297"/>
      <c r="C89" s="297"/>
      <c r="D89" s="297"/>
      <c r="E89" s="297"/>
      <c r="F89" s="297"/>
      <c r="H89" s="320" t="s">
        <v>392</v>
      </c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</row>
    <row r="90" spans="2:24">
      <c r="B90" s="297"/>
      <c r="C90" s="297"/>
      <c r="D90" s="297"/>
      <c r="E90" s="297"/>
      <c r="F90" s="297"/>
      <c r="H90" s="320" t="s">
        <v>393</v>
      </c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</row>
    <row r="91" spans="2:24">
      <c r="B91" s="297"/>
      <c r="C91" s="297"/>
      <c r="D91" s="297"/>
      <c r="E91" s="297"/>
      <c r="F91" s="297"/>
      <c r="H91" s="320" t="s">
        <v>394</v>
      </c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</row>
    <row r="94" spans="2:24">
      <c r="H94" s="19" t="s">
        <v>496</v>
      </c>
      <c r="J94" s="19">
        <f>BS!D39/BS!D47</f>
        <v>1.278229710276874</v>
      </c>
      <c r="K94" s="19">
        <f>BS!E39/BS!E47</f>
        <v>1.4004556755362749</v>
      </c>
      <c r="L94" s="19">
        <f>BS!F39/BS!F47</f>
        <v>1.1717707104150676</v>
      </c>
      <c r="M94" s="19">
        <f>BS!G39/BS!G47</f>
        <v>1.0544187063570956</v>
      </c>
      <c r="N94" s="19">
        <f>BS!H39/BS!H47</f>
        <v>0.94609758868471128</v>
      </c>
    </row>
    <row r="95" spans="2:24">
      <c r="H95" s="19" t="s">
        <v>323</v>
      </c>
      <c r="J95" s="254">
        <f>J60/AVERAGE(BS!$D$58:$H$58)</f>
        <v>7.1802800917589796E-2</v>
      </c>
      <c r="K95" s="254">
        <f>K60/AVERAGE(BS!$D$58:$H$58)</f>
        <v>1.2297110067679925E-3</v>
      </c>
      <c r="L95" s="254">
        <f>L60/AVERAGE(BS!$D$58:$H$58)</f>
        <v>0.12648995649324563</v>
      </c>
      <c r="M95" s="254">
        <f>M60/AVERAGE(BS!$D$58:$H$58)</f>
        <v>7.0161328672402504E-2</v>
      </c>
      <c r="N95" s="254">
        <f>N60/AVERAGE(BS!$D$58:$H$58)</f>
        <v>0.11448665200094908</v>
      </c>
      <c r="O95" s="254">
        <f>R60/AVERAGE(BS!$D$58:$H$58)</f>
        <v>0.11851138591031059</v>
      </c>
      <c r="P95" s="19">
        <f>T21/AVERAGE(BS!$D$58:$H$58)</f>
        <v>0.18168044194178909</v>
      </c>
      <c r="Q95" s="19">
        <f>U21/AVERAGE(BS!$D$58:$H$58)</f>
        <v>0.20251313261778101</v>
      </c>
      <c r="R95" s="19">
        <f>V21/AVERAGE(BS!$D$58:$H$58)</f>
        <v>0.22442137151006827</v>
      </c>
      <c r="T95" s="19">
        <f>W21/AVERAGE(BS!$D$58:$H$58)</f>
        <v>0.2477611941471152</v>
      </c>
      <c r="U95" s="19">
        <f>X21/AVERAGE(BS!$D$58:$H$58)</f>
        <v>0.27202114440735381</v>
      </c>
    </row>
    <row r="96" spans="2:24">
      <c r="H96" s="19" t="s">
        <v>497</v>
      </c>
      <c r="J96" s="254">
        <f>J22</f>
        <v>5.8217189715619976E-2</v>
      </c>
      <c r="K96" s="254">
        <f t="shared" ref="K96:N96" si="56">K22</f>
        <v>1.1513881154831844E-3</v>
      </c>
      <c r="L96" s="254">
        <f t="shared" si="56"/>
        <v>8.9819144237675161E-2</v>
      </c>
      <c r="M96" s="254">
        <f t="shared" si="56"/>
        <v>4.7259951735511271E-2</v>
      </c>
      <c r="N96" s="254">
        <f t="shared" si="56"/>
        <v>7.1759750230777283E-2</v>
      </c>
      <c r="O96" s="254">
        <f>R22</f>
        <v>7.3149683443858707E-2</v>
      </c>
    </row>
    <row r="97" spans="8:21">
      <c r="H97" s="19" t="s">
        <v>324</v>
      </c>
      <c r="J97" s="254">
        <f>J68/AVERAGE(BS!$D$47:$H$47)</f>
        <v>9.7916090961494825E-2</v>
      </c>
      <c r="K97" s="254">
        <f>K68/AVERAGE(BS!$D$47:$H$47)</f>
        <v>7.1997125706981489E-4</v>
      </c>
      <c r="L97" s="254">
        <f>L68/AVERAGE(BS!$D$47:$H$47)</f>
        <v>0.1809341359110013</v>
      </c>
      <c r="M97" s="254">
        <f>M68/AVERAGE(BS!$D$47:$H$47)</f>
        <v>9.3024829921353039E-2</v>
      </c>
      <c r="N97" s="254">
        <f>N68/AVERAGE(BS!$D$47:$H$47)</f>
        <v>0.16757039757791417</v>
      </c>
      <c r="O97" s="254">
        <f>R68/AVERAGE(BS!$D$47:$H$47)</f>
        <v>0.17537591120634097</v>
      </c>
      <c r="P97" s="19">
        <f>T31/AVERAGE(BS!$D$47:$H$47)</f>
        <v>0.21006309468687986</v>
      </c>
      <c r="Q97" s="19">
        <f>U31/AVERAGE(BS!$D$47:$H$47)</f>
        <v>0.23684308719977076</v>
      </c>
      <c r="R97" s="19">
        <f>V31/AVERAGE(BS!$D$47:$H$47)</f>
        <v>0.26518978415186334</v>
      </c>
      <c r="S97" s="19">
        <f>W31/AVERAGE(BS!$D$47:$H$47)</f>
        <v>0.29552679783254365</v>
      </c>
      <c r="T97" s="19">
        <f>X31/AVERAGE(BS!$D$47:$H$47)</f>
        <v>0.32724887545016679</v>
      </c>
      <c r="U97" s="19">
        <f>Y31/AVERAGE(BS!$D$47:$H$47)</f>
        <v>6.8270878164322033E-8</v>
      </c>
    </row>
    <row r="98" spans="8:21">
      <c r="H98" s="19" t="s">
        <v>328</v>
      </c>
      <c r="J98" s="254">
        <f>BS!D39/(BS!D39+BS!D47)</f>
        <v>0.56106269903816253</v>
      </c>
      <c r="K98" s="254">
        <f>BS!E39/(BS!E39+BS!E47)</f>
        <v>0.58341242865207477</v>
      </c>
      <c r="L98" s="254">
        <f>BS!F39/(BS!F39+BS!F47)</f>
        <v>0.53954623515072608</v>
      </c>
      <c r="M98" s="254">
        <f>BS!G39/(BS!G39+BS!G47)</f>
        <v>0.51324430754760575</v>
      </c>
      <c r="N98" s="254">
        <f>BS!H39/(BS!H39+BS!H47)</f>
        <v>0.48615115407657455</v>
      </c>
      <c r="O98" s="254"/>
      <c r="P98" s="19">
        <f>N98</f>
        <v>0.48615115407657455</v>
      </c>
      <c r="Q98" s="19">
        <f t="shared" ref="Q98:U98" si="57">O98</f>
        <v>0</v>
      </c>
      <c r="R98" s="19">
        <f t="shared" si="57"/>
        <v>0.48615115407657455</v>
      </c>
      <c r="S98" s="19">
        <f t="shared" si="57"/>
        <v>0</v>
      </c>
      <c r="T98" s="19">
        <f t="shared" si="57"/>
        <v>0.48615115407657455</v>
      </c>
      <c r="U98" s="19">
        <f t="shared" si="57"/>
        <v>0</v>
      </c>
    </row>
    <row r="99" spans="8:21">
      <c r="H99" s="19" t="s">
        <v>452</v>
      </c>
      <c r="J99" s="254">
        <f>J98*WACC!$D$15+(1-J98)*WACC!$D$23</f>
        <v>6.1759040248210793E-2</v>
      </c>
      <c r="K99" s="254">
        <f>K98*WACC!$D$15+(1-K98)*WACC!$D$23</f>
        <v>5.8614404675572961E-2</v>
      </c>
      <c r="L99" s="254">
        <f>L98*WACC!$D$15+(1-L98)*WACC!$D$23</f>
        <v>6.478643426624367E-2</v>
      </c>
      <c r="M99" s="254">
        <f>M98*WACC!$D$15+(1-M98)*WACC!$D$23</f>
        <v>6.8487149156245375E-2</v>
      </c>
      <c r="N99" s="254">
        <f>N98*WACC!$D$15+(1-N98)*WACC!$D$23</f>
        <v>7.229919053892532E-2</v>
      </c>
      <c r="O99" s="254"/>
    </row>
    <row r="100" spans="8:21">
      <c r="H100" s="19" t="s">
        <v>498</v>
      </c>
      <c r="J100" s="468">
        <f>(BS!D39-SUM(BS!D10:D11))/'IS-Metrics'!J60</f>
        <v>6.1527907728791638</v>
      </c>
      <c r="K100" s="468">
        <f>(BS!E39-SUM(BS!E10:E11))/'IS-Metrics'!K60</f>
        <v>377.30790533736155</v>
      </c>
      <c r="L100" s="468">
        <f>(BS!F39-SUM(BS!F10:F11))/'IS-Metrics'!L60</f>
        <v>3.9151862856919077</v>
      </c>
      <c r="M100" s="468">
        <f>(BS!G39-SUM(BS!G10:G11))/'IS-Metrics'!M60</f>
        <v>6.6524183335319007</v>
      </c>
      <c r="N100" s="468">
        <f>(BS!H39-SUM(BS!H10:H11))/'IS-Metrics'!N60</f>
        <v>4.14717343392961</v>
      </c>
      <c r="O100" s="468" t="e">
        <f>(BS!#REF!-SUM(BS!#REF!))/'IS-Metrics'!O60</f>
        <v>#REF!</v>
      </c>
    </row>
    <row r="101" spans="8:21">
      <c r="H101" s="19" t="s">
        <v>499</v>
      </c>
    </row>
    <row r="102" spans="8:21">
      <c r="H102" s="458" t="s">
        <v>264</v>
      </c>
      <c r="J102" s="254">
        <f>J77</f>
        <v>0.68878221211012935</v>
      </c>
      <c r="K102" s="254">
        <f t="shared" ref="K102:N102" si="58">K77</f>
        <v>0.75015399671106509</v>
      </c>
      <c r="L102" s="254">
        <f t="shared" si="58"/>
        <v>0.67157005102266265</v>
      </c>
      <c r="M102" s="254">
        <f t="shared" si="58"/>
        <v>0.70236843005277727</v>
      </c>
      <c r="N102" s="254">
        <f t="shared" si="58"/>
        <v>0.66712107360868522</v>
      </c>
      <c r="O102" s="254">
        <f t="shared" ref="O102" si="59">O77</f>
        <v>0</v>
      </c>
    </row>
    <row r="103" spans="8:21">
      <c r="H103" s="458" t="s">
        <v>74</v>
      </c>
      <c r="J103" s="254">
        <f>J78</f>
        <v>0.25300059817425069</v>
      </c>
      <c r="K103" s="254">
        <f t="shared" ref="K103:N103" si="60">K78</f>
        <v>0.24869461517345176</v>
      </c>
      <c r="L103" s="254">
        <f t="shared" si="60"/>
        <v>0.2386108047396622</v>
      </c>
      <c r="M103" s="254">
        <f t="shared" si="60"/>
        <v>0.25037161821171144</v>
      </c>
      <c r="N103" s="254">
        <f t="shared" si="60"/>
        <v>0.26111917616053754</v>
      </c>
      <c r="O103" s="254">
        <f t="shared" ref="O103" si="61">O78</f>
        <v>0</v>
      </c>
    </row>
    <row r="104" spans="8:21">
      <c r="H104" s="458" t="s">
        <v>500</v>
      </c>
      <c r="J104" s="254">
        <f>J81</f>
        <v>1.79788638404293E-2</v>
      </c>
      <c r="K104" s="254">
        <f t="shared" ref="K104:N104" si="62">K81</f>
        <v>6.6004802088499772E-4</v>
      </c>
      <c r="L104" s="254">
        <f t="shared" si="62"/>
        <v>2.0668256402894589E-2</v>
      </c>
      <c r="M104" s="254">
        <f t="shared" si="62"/>
        <v>1.2841890840174138E-2</v>
      </c>
      <c r="N104" s="254">
        <f t="shared" si="62"/>
        <v>1.8227960406245629E-2</v>
      </c>
      <c r="O104" s="254">
        <f t="shared" ref="O104" si="63">O81</f>
        <v>0</v>
      </c>
    </row>
    <row r="105" spans="8:21">
      <c r="H105" s="458" t="s">
        <v>501</v>
      </c>
      <c r="J105" s="254">
        <f>J29/J11</f>
        <v>1.79788638404293E-2</v>
      </c>
      <c r="K105" s="254">
        <f t="shared" ref="K105:N105" si="64">K29/K11</f>
        <v>6.6004802088499772E-4</v>
      </c>
      <c r="L105" s="254">
        <f t="shared" si="64"/>
        <v>2.0668256402894589E-2</v>
      </c>
      <c r="M105" s="254">
        <f t="shared" si="64"/>
        <v>1.2841890840174138E-2</v>
      </c>
      <c r="N105" s="254">
        <f t="shared" si="64"/>
        <v>1.8227960406245629E-2</v>
      </c>
      <c r="O105" s="254">
        <f t="shared" ref="O105" si="65">O29/O11</f>
        <v>0</v>
      </c>
    </row>
    <row r="108" spans="8:21">
      <c r="J108" s="871" t="s">
        <v>259</v>
      </c>
      <c r="K108" s="871"/>
      <c r="L108" s="871"/>
      <c r="M108" s="871"/>
      <c r="N108" s="871"/>
      <c r="O108" s="268"/>
      <c r="P108" s="872" t="s">
        <v>519</v>
      </c>
      <c r="Q108" s="871"/>
      <c r="R108" s="871"/>
      <c r="S108" s="871"/>
      <c r="T108" s="871"/>
      <c r="U108" s="871"/>
    </row>
    <row r="109" spans="8:21">
      <c r="J109" s="230" t="str">
        <f>J8</f>
        <v>FY2020A</v>
      </c>
      <c r="K109" s="230" t="str">
        <f t="shared" ref="K109:N109" si="66">K8</f>
        <v>FY2021A</v>
      </c>
      <c r="L109" s="230" t="str">
        <f t="shared" si="66"/>
        <v>FY2022A</v>
      </c>
      <c r="M109" s="230" t="str">
        <f t="shared" si="66"/>
        <v>FY2023A</v>
      </c>
      <c r="N109" s="230" t="str">
        <f t="shared" si="66"/>
        <v>FY2024A</v>
      </c>
      <c r="O109" s="479" t="str">
        <f>R7</f>
        <v>LTM</v>
      </c>
      <c r="P109" s="480" t="str">
        <f>T8</f>
        <v>FY2025E</v>
      </c>
      <c r="Q109" s="230" t="str">
        <f t="shared" ref="Q109:R109" si="67">U8</f>
        <v>FY2026E</v>
      </c>
      <c r="R109" s="230" t="str">
        <f t="shared" si="67"/>
        <v>FY2027E</v>
      </c>
      <c r="S109" s="230"/>
      <c r="T109" s="230" t="str">
        <f>W8</f>
        <v>FY2028E</v>
      </c>
      <c r="U109" s="230" t="str">
        <f>X8</f>
        <v>FY2029E</v>
      </c>
    </row>
    <row r="110" spans="8:21">
      <c r="H110" s="474" t="s">
        <v>503</v>
      </c>
      <c r="I110" s="469"/>
      <c r="J110" s="469"/>
      <c r="K110" s="469"/>
      <c r="L110" s="469"/>
      <c r="M110" s="469"/>
      <c r="N110" s="469"/>
      <c r="O110" s="470"/>
      <c r="P110" s="473"/>
      <c r="Q110" s="469"/>
      <c r="R110" s="469"/>
      <c r="S110" s="469"/>
      <c r="T110" s="469"/>
      <c r="U110" s="469"/>
    </row>
    <row r="111" spans="8:21">
      <c r="H111" s="19" t="s">
        <v>504</v>
      </c>
      <c r="J111" s="471">
        <f>J22</f>
        <v>5.8217189715619976E-2</v>
      </c>
      <c r="K111" s="471">
        <f t="shared" ref="K111:N111" si="68">K22</f>
        <v>1.1513881154831844E-3</v>
      </c>
      <c r="L111" s="471">
        <f t="shared" si="68"/>
        <v>8.9819144237675161E-2</v>
      </c>
      <c r="M111" s="471">
        <f t="shared" si="68"/>
        <v>4.7259951735511271E-2</v>
      </c>
      <c r="N111" s="471">
        <f t="shared" si="68"/>
        <v>7.1759750230777283E-2</v>
      </c>
      <c r="O111" s="472">
        <f>R22</f>
        <v>7.3149683443858707E-2</v>
      </c>
      <c r="P111" s="471">
        <f>T22</f>
        <v>0.10499999999999991</v>
      </c>
      <c r="Q111" s="471">
        <f t="shared" ref="Q111:R111" si="69">U22</f>
        <v>0.10999999999999996</v>
      </c>
      <c r="R111" s="471">
        <f t="shared" si="69"/>
        <v>0.11499999999999999</v>
      </c>
      <c r="S111" s="471"/>
      <c r="T111" s="471">
        <f>W22</f>
        <v>0.1199999999999999</v>
      </c>
      <c r="U111" s="471">
        <f>X22</f>
        <v>0.125</v>
      </c>
    </row>
    <row r="112" spans="8:21">
      <c r="H112" s="19" t="s">
        <v>505</v>
      </c>
      <c r="J112" s="471">
        <f>J25</f>
        <v>3.0038990518825168E-2</v>
      </c>
      <c r="K112" s="471">
        <f t="shared" ref="K112:N112" si="70">K25</f>
        <v>-2.8929351091920019E-2</v>
      </c>
      <c r="L112" s="471">
        <f t="shared" si="70"/>
        <v>6.6588213103210697E-2</v>
      </c>
      <c r="M112" s="471">
        <f t="shared" si="70"/>
        <v>2.5918180597275135E-2</v>
      </c>
      <c r="N112" s="471">
        <f t="shared" si="70"/>
        <v>5.1871862287723232E-2</v>
      </c>
      <c r="O112" s="472">
        <f>R25</f>
        <v>5.1654135065354975E-2</v>
      </c>
      <c r="P112" s="471">
        <f>T25</f>
        <v>8.2999999999999907E-2</v>
      </c>
      <c r="Q112" s="471">
        <f t="shared" ref="Q112:R112" si="71">U25</f>
        <v>8.7999999999999967E-2</v>
      </c>
      <c r="R112" s="471">
        <f t="shared" si="71"/>
        <v>9.2999999999999985E-2</v>
      </c>
      <c r="S112" s="471"/>
      <c r="T112" s="471">
        <f>W25</f>
        <v>9.7999999999999907E-2</v>
      </c>
      <c r="U112" s="471">
        <f>X25</f>
        <v>0.10300000000000001</v>
      </c>
    </row>
    <row r="113" spans="8:21">
      <c r="H113" s="19" t="s">
        <v>506</v>
      </c>
      <c r="J113" s="471">
        <f>J32</f>
        <v>4.2195005809795648E-2</v>
      </c>
      <c r="K113" s="471">
        <f t="shared" ref="K113:N113" si="72">K32</f>
        <v>3.5828693623796978E-4</v>
      </c>
      <c r="L113" s="471">
        <f t="shared" si="72"/>
        <v>6.828581748488545E-2</v>
      </c>
      <c r="M113" s="471">
        <f t="shared" si="72"/>
        <v>3.3303623340126175E-2</v>
      </c>
      <c r="N113" s="471">
        <f t="shared" si="72"/>
        <v>5.5823941340171233E-2</v>
      </c>
      <c r="O113" s="472">
        <f>R32</f>
        <v>5.7533321472789126E-2</v>
      </c>
      <c r="P113" s="471">
        <f>T32</f>
        <v>6.452499999999993E-2</v>
      </c>
      <c r="Q113" s="471">
        <f t="shared" ref="Q113:R113" si="73">U32</f>
        <v>6.8374999999999977E-2</v>
      </c>
      <c r="R113" s="471">
        <f t="shared" si="73"/>
        <v>7.2224999999999998E-2</v>
      </c>
      <c r="S113" s="471"/>
      <c r="T113" s="471">
        <f>W32</f>
        <v>7.6074999999999948E-2</v>
      </c>
      <c r="U113" s="471">
        <f>X32</f>
        <v>7.992500000000001E-2</v>
      </c>
    </row>
    <row r="114" spans="8:21">
      <c r="H114" s="19" t="s">
        <v>174</v>
      </c>
      <c r="J114" s="471">
        <f>J60/AVERAGE(BS!$D$58:$H$58)</f>
        <v>7.1802800917589796E-2</v>
      </c>
      <c r="K114" s="471">
        <f>K60/AVERAGE(BS!$D$58:$H$58)</f>
        <v>1.2297110067679925E-3</v>
      </c>
      <c r="L114" s="471">
        <f>L60/AVERAGE(BS!$D$58:$H$58)</f>
        <v>0.12648995649324563</v>
      </c>
      <c r="M114" s="471">
        <f>M60/AVERAGE(BS!$D$58:$H$58)</f>
        <v>7.0161328672402504E-2</v>
      </c>
      <c r="N114" s="471">
        <f>N60/AVERAGE(BS!$D$58:$H$58)</f>
        <v>0.11448665200094908</v>
      </c>
      <c r="O114" s="472">
        <f>R60/AVERAGE(BS!$D$58:$H$58)</f>
        <v>0.11851138591031059</v>
      </c>
      <c r="P114" s="471">
        <f>P95</f>
        <v>0.18168044194178909</v>
      </c>
      <c r="Q114" s="471">
        <f t="shared" ref="Q114:R114" si="74">Q95</f>
        <v>0.20251313261778101</v>
      </c>
      <c r="R114" s="471">
        <f t="shared" si="74"/>
        <v>0.22442137151006827</v>
      </c>
      <c r="S114" s="471"/>
      <c r="T114" s="471">
        <f>S95</f>
        <v>0</v>
      </c>
      <c r="U114" s="471">
        <f>T95</f>
        <v>0.2477611941471152</v>
      </c>
    </row>
    <row r="115" spans="8:21">
      <c r="H115" s="19" t="s">
        <v>175</v>
      </c>
      <c r="J115" s="471">
        <f>J68/AVERAGE(BS!$D$47:$H$47)</f>
        <v>9.7916090961494825E-2</v>
      </c>
      <c r="K115" s="471">
        <f>K68/AVERAGE(BS!$D$47:$H$47)</f>
        <v>7.1997125706981489E-4</v>
      </c>
      <c r="L115" s="471">
        <f>L68/AVERAGE(BS!$D$47:$H$47)</f>
        <v>0.1809341359110013</v>
      </c>
      <c r="M115" s="471">
        <f>M68/AVERAGE(BS!$D$47:$H$47)</f>
        <v>9.3024829921353039E-2</v>
      </c>
      <c r="N115" s="471">
        <f>N68/AVERAGE(BS!$D$47:$H$47)</f>
        <v>0.16757039757791417</v>
      </c>
      <c r="O115" s="472">
        <f>R68/AVERAGE(BS!$D$47:$H$47)</f>
        <v>0.17537591120634097</v>
      </c>
      <c r="P115" s="471">
        <f>P97</f>
        <v>0.21006309468687986</v>
      </c>
      <c r="Q115" s="471">
        <f t="shared" ref="Q115:R115" si="75">Q97</f>
        <v>0.23684308719977076</v>
      </c>
      <c r="R115" s="471">
        <f t="shared" si="75"/>
        <v>0.26518978415186334</v>
      </c>
      <c r="S115" s="471"/>
      <c r="T115" s="471">
        <f>S97</f>
        <v>0.29552679783254365</v>
      </c>
      <c r="U115" s="471">
        <f>T97</f>
        <v>0.32724887545016679</v>
      </c>
    </row>
    <row r="116" spans="8:21">
      <c r="H116" s="19" t="s">
        <v>176</v>
      </c>
      <c r="J116" s="471">
        <f>J68/BS!D24</f>
        <v>5.0698011510924158E-2</v>
      </c>
      <c r="K116" s="471">
        <f>K68/BS!E24</f>
        <v>4.8540353095723854E-4</v>
      </c>
      <c r="L116" s="471">
        <f>L68/BS!F24</f>
        <v>8.1927610424474467E-2</v>
      </c>
      <c r="M116" s="471">
        <f>M68/BS!G24</f>
        <v>4.3362154729735598E-2</v>
      </c>
      <c r="N116" s="471">
        <f>N68/BS!H24</f>
        <v>6.9973090640733662E-2</v>
      </c>
      <c r="O116" s="472">
        <f>R68/BS!H24</f>
        <v>7.3232472491668504E-2</v>
      </c>
      <c r="P116" s="471">
        <f>T31/BS!$H$24</f>
        <v>8.7716948681008336E-2</v>
      </c>
      <c r="Q116" s="471">
        <f>U31/BS!$H$24</f>
        <v>9.8899585176164942E-2</v>
      </c>
      <c r="R116" s="471">
        <f>V31/BS!$H$24</f>
        <v>0.1107364371730812</v>
      </c>
      <c r="S116" s="471"/>
      <c r="T116" s="471">
        <f>W31/BS!$H$24</f>
        <v>0.12340439427487422</v>
      </c>
      <c r="U116" s="471">
        <f>X31/BS!$H$24</f>
        <v>0.13665071847374269</v>
      </c>
    </row>
    <row r="117" spans="8:21">
      <c r="H117" s="474" t="s">
        <v>507</v>
      </c>
      <c r="I117" s="469"/>
      <c r="J117" s="469"/>
      <c r="K117" s="469"/>
      <c r="L117" s="469"/>
      <c r="M117" s="469"/>
      <c r="N117" s="469"/>
      <c r="O117" s="470"/>
      <c r="P117" s="469"/>
      <c r="Q117" s="469"/>
      <c r="R117" s="469"/>
      <c r="S117" s="469"/>
      <c r="T117" s="469"/>
      <c r="U117" s="469"/>
    </row>
    <row r="118" spans="8:21">
      <c r="H118" s="19" t="s">
        <v>508</v>
      </c>
      <c r="J118" s="19">
        <f>BS!D15/BS!D33</f>
        <v>1.6491006152449239</v>
      </c>
      <c r="K118" s="19">
        <f>BS!E15/BS!E33</f>
        <v>1.3500483373283363</v>
      </c>
      <c r="L118" s="19">
        <f>BS!F15/BS!F33</f>
        <v>1.3100176978887856</v>
      </c>
      <c r="M118" s="19">
        <f>BS!G15/BS!G33</f>
        <v>1.3901113464678887</v>
      </c>
      <c r="N118" s="19">
        <f>BS!H15/BS!H33</f>
        <v>1.2899784249727169</v>
      </c>
      <c r="O118" s="268">
        <f>BS!I15/BS!I33</f>
        <v>1.2899784249727169</v>
      </c>
      <c r="P118" s="19">
        <f>BS!J15/BS!J33</f>
        <v>1.7713728255077177</v>
      </c>
      <c r="Q118" s="19">
        <f>BS!K15/BS!K33</f>
        <v>2.144471624674845</v>
      </c>
      <c r="R118" s="19">
        <f>BS!L15/BS!L33</f>
        <v>2.4813539834131175</v>
      </c>
      <c r="T118" s="19">
        <f>BS!M15/BS!M33</f>
        <v>2.7942837362657813</v>
      </c>
      <c r="U118" s="19">
        <f>BS!N15/BS!N33</f>
        <v>3.073600957407975</v>
      </c>
    </row>
    <row r="119" spans="8:21">
      <c r="H119" s="19" t="s">
        <v>509</v>
      </c>
      <c r="J119" s="19">
        <f>(BS!D15-BS!D13)/BS!D33</f>
        <v>1.0079715703617891</v>
      </c>
      <c r="K119" s="19">
        <f>(BS!E15-BS!E13)/BS!E33</f>
        <v>0.92006904071371498</v>
      </c>
      <c r="L119" s="19">
        <f>(BS!F15-BS!F13)/BS!F33</f>
        <v>0.72956464416239675</v>
      </c>
      <c r="M119" s="19">
        <f>(BS!G15-BS!G13)/BS!G33</f>
        <v>0.73026503469328619</v>
      </c>
      <c r="N119" s="19">
        <f>(BS!H15-BS!H13)/BS!H33</f>
        <v>0.73652918663655886</v>
      </c>
      <c r="O119" s="268">
        <f>(BS!I15-BS!I13)/BS!I33</f>
        <v>0.73652918663655886</v>
      </c>
      <c r="P119" s="19">
        <f>(BS!J15-BS!J13)/BS!J33</f>
        <v>0.94383159037154574</v>
      </c>
      <c r="Q119" s="19">
        <f>(BS!K15-BS!K13)/BS!K33</f>
        <v>1.3231060703978983</v>
      </c>
      <c r="R119" s="19">
        <f>(BS!L15-BS!L13)/BS!L33</f>
        <v>1.6661641099953959</v>
      </c>
      <c r="T119" s="19">
        <f>(BS!M15-BS!M13)/BS!M33</f>
        <v>1.9852695437072847</v>
      </c>
      <c r="U119" s="19">
        <f>(BS!N15-BS!N13)/BS!N33</f>
        <v>2.2707624457087037</v>
      </c>
    </row>
    <row r="120" spans="8:21">
      <c r="H120" s="19" t="s">
        <v>510</v>
      </c>
      <c r="J120" s="19">
        <f>SUM(BS!D10:D11)/BS!D33</f>
        <v>0.67832240086416085</v>
      </c>
      <c r="K120" s="19">
        <f>SUM(BS!E10:E11)/BS!E33</f>
        <v>0.62940057298495145</v>
      </c>
      <c r="L120" s="19">
        <f>SUM(BS!F10:F11)/BS!F33</f>
        <v>0.45441392682223558</v>
      </c>
      <c r="M120" s="19">
        <f>SUM(BS!G10:G11)/BS!G33</f>
        <v>0.42974974561251789</v>
      </c>
      <c r="N120" s="19">
        <f>SUM(BS!H10:H11)/BS!H33</f>
        <v>0.46777576053228459</v>
      </c>
      <c r="O120" s="268">
        <f>SUM(BS!I10:I11)/BS!I33</f>
        <v>0.46777576053228459</v>
      </c>
      <c r="P120" s="19">
        <f>SUM(BS!J10:J11)/BS!J33</f>
        <v>0.61607938477123891</v>
      </c>
      <c r="Q120" s="19">
        <f>SUM(BS!K10:K11)/BS!K33</f>
        <v>0.99535386479759125</v>
      </c>
      <c r="R120" s="19">
        <f>SUM(BS!L10:L11)/BS!L33</f>
        <v>1.3384119043950886</v>
      </c>
      <c r="T120" s="19">
        <f>SUM(BS!M10:M11)/BS!M33</f>
        <v>1.6575173381069779</v>
      </c>
      <c r="U120" s="19">
        <f>SUM(BS!N10:N11)/BS!N33</f>
        <v>1.9430102401083966</v>
      </c>
    </row>
    <row r="121" spans="8:21">
      <c r="H121" s="474" t="s">
        <v>511</v>
      </c>
      <c r="I121" s="469"/>
      <c r="J121" s="469"/>
      <c r="K121" s="469"/>
      <c r="L121" s="469"/>
      <c r="M121" s="469"/>
      <c r="N121" s="469"/>
      <c r="O121" s="470"/>
      <c r="P121" s="469"/>
      <c r="Q121" s="469"/>
      <c r="R121" s="469"/>
      <c r="S121" s="469"/>
      <c r="T121" s="469"/>
      <c r="U121" s="469"/>
    </row>
    <row r="122" spans="8:21">
      <c r="H122" s="19" t="s">
        <v>512</v>
      </c>
      <c r="J122" s="19">
        <f>BS!D37/BS!D24</f>
        <v>0.36840868696867235</v>
      </c>
      <c r="K122" s="19">
        <f>BS!E37/BS!E24</f>
        <v>0.45667793122271816</v>
      </c>
      <c r="L122" s="19">
        <f>BS!F37/BS!F24</f>
        <v>0.28067438828469143</v>
      </c>
      <c r="M122" s="19">
        <f>BS!G37/BS!G24</f>
        <v>0.27148490107827716</v>
      </c>
      <c r="N122" s="19">
        <f>BS!H37/BS!H24</f>
        <v>0.24432326354607611</v>
      </c>
      <c r="O122" s="268">
        <f>BS!I37/BS!I24</f>
        <v>0.24432326354607611</v>
      </c>
      <c r="P122" s="19">
        <f>BS!J37/BS!J24</f>
        <v>0.21621657473467887</v>
      </c>
      <c r="Q122" s="19">
        <f>BS!K37/BS!K24</f>
        <v>0.18598314541940542</v>
      </c>
      <c r="R122" s="19">
        <f>BS!L37/BS!L24</f>
        <v>0.16211039451481715</v>
      </c>
      <c r="T122" s="19">
        <f>BS!M37/BS!M24</f>
        <v>0.14258484409489613</v>
      </c>
      <c r="U122" s="19">
        <f>BS!N37/BS!N24</f>
        <v>0.12698512600371226</v>
      </c>
    </row>
    <row r="123" spans="8:21">
      <c r="H123" s="19" t="s">
        <v>513</v>
      </c>
      <c r="J123" s="19">
        <f>BS!D37/BS!D47</f>
        <v>0.83931961617612194</v>
      </c>
      <c r="K123" s="19">
        <f>BS!E37/BS!E47</f>
        <v>0.78711315468668241</v>
      </c>
      <c r="L123" s="19">
        <f>BS!F37/BS!F47</f>
        <v>0.60956041564035879</v>
      </c>
      <c r="M123" s="19">
        <f>BS!G37/BS!G47</f>
        <v>0.55774502224051892</v>
      </c>
      <c r="N123" s="19">
        <f>BS!H37/BS!H47</f>
        <v>0.47547691404659792</v>
      </c>
      <c r="O123" s="268">
        <f>BS!I37/BS!I47</f>
        <v>0.47547691404659792</v>
      </c>
      <c r="P123" s="19">
        <f>BS!J37/BS!J47</f>
        <v>0.36219915901230426</v>
      </c>
      <c r="Q123" s="19">
        <f>BS!K37/BS!K47</f>
        <v>0.28923051667134531</v>
      </c>
      <c r="R123" s="19">
        <f>BS!L37/BS!L47</f>
        <v>0.23843065727638274</v>
      </c>
      <c r="T123" s="19">
        <f>BS!M37/BS!M47</f>
        <v>0.20071050830131862</v>
      </c>
      <c r="U123" s="19">
        <f>BS!N37/BS!N47</f>
        <v>0.17276550709474325</v>
      </c>
    </row>
    <row r="124" spans="8:21">
      <c r="H124" s="19" t="s">
        <v>496</v>
      </c>
      <c r="J124" s="19">
        <f>BS!D39/BS!D47</f>
        <v>1.278229710276874</v>
      </c>
      <c r="K124" s="19">
        <f>BS!E39/BS!E47</f>
        <v>1.4004556755362749</v>
      </c>
      <c r="L124" s="19">
        <f>BS!F39/BS!F47</f>
        <v>1.1717707104150676</v>
      </c>
      <c r="M124" s="19">
        <f>BS!G39/BS!G47</f>
        <v>1.0544187063570956</v>
      </c>
      <c r="N124" s="19">
        <f>BS!H39/BS!H47</f>
        <v>0.94609758868471128</v>
      </c>
      <c r="O124" s="268">
        <f>BS!I39/BS!I47</f>
        <v>0.94609758868471128</v>
      </c>
      <c r="P124" s="19">
        <f>BS!J39/BS!J47</f>
        <v>0.67516833275507115</v>
      </c>
      <c r="Q124" s="19">
        <f>BS!K39/BS!K47</f>
        <v>0.55514369874275205</v>
      </c>
      <c r="R124" s="19">
        <f>BS!L39/BS!L47</f>
        <v>0.47079191306631368</v>
      </c>
      <c r="T124" s="19">
        <f>BS!M39/BS!M47</f>
        <v>0.40765668031124996</v>
      </c>
      <c r="U124" s="19">
        <f>BS!N39/BS!N47</f>
        <v>0.36051766479873132</v>
      </c>
    </row>
    <row r="125" spans="8:21">
      <c r="H125" s="474" t="s">
        <v>514</v>
      </c>
      <c r="I125" s="469"/>
      <c r="J125" s="469"/>
      <c r="K125" s="469"/>
      <c r="L125" s="469"/>
      <c r="M125" s="469"/>
      <c r="N125" s="469"/>
      <c r="O125" s="470"/>
      <c r="P125" s="469"/>
      <c r="Q125" s="469"/>
      <c r="R125" s="469"/>
      <c r="S125" s="469"/>
      <c r="T125" s="469"/>
      <c r="U125" s="469"/>
    </row>
    <row r="126" spans="8:21">
      <c r="H126" s="19" t="s">
        <v>167</v>
      </c>
      <c r="J126" s="476">
        <f>J34</f>
        <v>1.6711224862814331</v>
      </c>
      <c r="K126" s="476">
        <f t="shared" ref="K126:N126" si="76">K34</f>
        <v>1.2545322515070017E-2</v>
      </c>
      <c r="L126" s="476">
        <f t="shared" si="76"/>
        <v>3.1290425315813275</v>
      </c>
      <c r="M126" s="476">
        <f t="shared" si="76"/>
        <v>1.6963257863252172</v>
      </c>
      <c r="N126" s="476">
        <f t="shared" si="76"/>
        <v>3.0497270767038578</v>
      </c>
      <c r="O126" s="268">
        <f>R34</f>
        <v>3.1853918309731228</v>
      </c>
      <c r="P126" s="476">
        <f>T34</f>
        <v>3.8080539479398059</v>
      </c>
      <c r="Q126" s="476">
        <f t="shared" ref="Q126:R126" si="77">U34</f>
        <v>4.2935254981258275</v>
      </c>
      <c r="R126" s="476">
        <f t="shared" si="77"/>
        <v>4.8073984913823224</v>
      </c>
      <c r="S126" s="476"/>
      <c r="T126" s="476">
        <f>W34</f>
        <v>5.3573522321268356</v>
      </c>
      <c r="U126" s="476">
        <f>X34</f>
        <v>5.9324146108312261</v>
      </c>
    </row>
    <row r="127" spans="8:21">
      <c r="H127" s="19" t="s">
        <v>520</v>
      </c>
      <c r="J127" s="475" t="s">
        <v>23</v>
      </c>
      <c r="K127" s="475" t="s">
        <v>23</v>
      </c>
      <c r="L127" s="475" t="s">
        <v>23</v>
      </c>
      <c r="M127" s="475" t="s">
        <v>23</v>
      </c>
      <c r="N127" s="475" t="s">
        <v>23</v>
      </c>
      <c r="O127" s="266" t="s">
        <v>23</v>
      </c>
      <c r="P127" s="475" t="s">
        <v>23</v>
      </c>
      <c r="Q127" s="475" t="s">
        <v>23</v>
      </c>
      <c r="R127" s="475" t="s">
        <v>23</v>
      </c>
      <c r="S127" s="475"/>
      <c r="T127" s="475" t="s">
        <v>23</v>
      </c>
      <c r="U127" s="475" t="s">
        <v>23</v>
      </c>
    </row>
    <row r="128" spans="8:21">
      <c r="H128" s="474" t="s">
        <v>515</v>
      </c>
      <c r="I128" s="469"/>
      <c r="J128" s="469"/>
      <c r="K128" s="469"/>
      <c r="L128" s="469"/>
      <c r="M128" s="469"/>
      <c r="N128" s="469"/>
      <c r="O128" s="470"/>
      <c r="P128" s="469"/>
      <c r="Q128" s="469"/>
      <c r="R128" s="469"/>
      <c r="S128" s="469"/>
      <c r="T128" s="469"/>
      <c r="U128" s="469"/>
    </row>
    <row r="129" spans="8:21">
      <c r="H129" s="19" t="s">
        <v>516</v>
      </c>
      <c r="J129" s="468">
        <f>$F$35/J11</f>
        <v>1.5518084027040591</v>
      </c>
      <c r="K129" s="468">
        <f t="shared" ref="K129:N129" si="78">$F$35/K11</f>
        <v>1.7920368249400176</v>
      </c>
      <c r="L129" s="468">
        <f t="shared" si="78"/>
        <v>1.359067782779626</v>
      </c>
      <c r="M129" s="468">
        <f t="shared" si="78"/>
        <v>1.2892101517253347</v>
      </c>
      <c r="N129" s="468">
        <f t="shared" si="78"/>
        <v>1.1996493164975723</v>
      </c>
      <c r="O129" s="477">
        <f>$F$35/R11</f>
        <v>1.1813555388200008</v>
      </c>
      <c r="P129" s="468">
        <f>$F$35/T11</f>
        <v>1.1061381449625474</v>
      </c>
      <c r="Q129" s="468">
        <f t="shared" ref="Q129:R129" si="79">$F$35/U11</f>
        <v>1.0396035197016422</v>
      </c>
      <c r="R129" s="468">
        <f t="shared" si="79"/>
        <v>0.98075803745437951</v>
      </c>
      <c r="S129" s="468"/>
      <c r="T129" s="468">
        <f>$F$35/W11</f>
        <v>0.92699247396444184</v>
      </c>
      <c r="U129" s="468">
        <f>$F$35/X11</f>
        <v>0.87949950091503015</v>
      </c>
    </row>
    <row r="130" spans="8:21">
      <c r="H130" s="19" t="s">
        <v>517</v>
      </c>
      <c r="J130" s="468">
        <f>$F$35/J21</f>
        <v>26.655501756171176</v>
      </c>
      <c r="K130" s="468">
        <f t="shared" ref="K130:N130" si="80">$F$35/K21</f>
        <v>1556.4142106747231</v>
      </c>
      <c r="L130" s="468">
        <f t="shared" si="80"/>
        <v>15.131159334844311</v>
      </c>
      <c r="M130" s="468">
        <f t="shared" si="80"/>
        <v>27.279125440930535</v>
      </c>
      <c r="N130" s="468">
        <f t="shared" si="80"/>
        <v>16.717579320434297</v>
      </c>
      <c r="O130" s="478">
        <f>$F$35/R21</f>
        <v>16.149838019827847</v>
      </c>
      <c r="P130" s="468">
        <f>$F$35/T21</f>
        <v>10.534648999643318</v>
      </c>
      <c r="Q130" s="468">
        <f t="shared" ref="Q130:R130" si="81">$F$35/U21</f>
        <v>9.4509410881967515</v>
      </c>
      <c r="R130" s="468">
        <f t="shared" si="81"/>
        <v>8.5283307604728655</v>
      </c>
      <c r="S130" s="468"/>
      <c r="T130" s="468">
        <f>$F$35/W21</f>
        <v>7.724937283037022</v>
      </c>
      <c r="U130" s="468">
        <f>$F$35/X21</f>
        <v>7.0359960073202412</v>
      </c>
    </row>
    <row r="131" spans="8:21">
      <c r="H131" s="19" t="s">
        <v>518</v>
      </c>
      <c r="J131" s="468">
        <f>$F$35/J24</f>
        <v>51.659805336386199</v>
      </c>
      <c r="K131" s="468">
        <f t="shared" ref="K131:N131" si="82">$F$35/K24</f>
        <v>-61.945282465756172</v>
      </c>
      <c r="L131" s="468">
        <f t="shared" si="82"/>
        <v>20.410035341736716</v>
      </c>
      <c r="M131" s="468">
        <f t="shared" si="82"/>
        <v>49.74153748511474</v>
      </c>
      <c r="N131" s="468">
        <f t="shared" si="82"/>
        <v>23.127168826971136</v>
      </c>
      <c r="O131" s="478">
        <f>$F$35/R24</f>
        <v>22.870493084925346</v>
      </c>
      <c r="P131" s="468">
        <f>$F$35/T24</f>
        <v>13.326965601958417</v>
      </c>
      <c r="Q131" s="468">
        <f t="shared" ref="Q131:R131" si="83">$F$35/U24</f>
        <v>11.813676360245941</v>
      </c>
      <c r="R131" s="468">
        <f t="shared" si="83"/>
        <v>10.545785348971824</v>
      </c>
      <c r="S131" s="468"/>
      <c r="T131" s="468">
        <f>$F$35/W24</f>
        <v>9.4591068771881908</v>
      </c>
      <c r="U131" s="468">
        <f>$F$35/X24</f>
        <v>8.5388301059711669</v>
      </c>
    </row>
    <row r="132" spans="8:21">
      <c r="H132" s="19" t="s">
        <v>321</v>
      </c>
      <c r="J132" s="468">
        <f>$F$22/J126</f>
        <v>29.489160970873787</v>
      </c>
      <c r="K132" s="468">
        <f t="shared" ref="K132:N132" si="84">$F$22/K126</f>
        <v>3928.1572825889971</v>
      </c>
      <c r="L132" s="468">
        <f t="shared" si="84"/>
        <v>15.749226641254799</v>
      </c>
      <c r="M132" s="468">
        <f t="shared" si="84"/>
        <v>29.051023333646423</v>
      </c>
      <c r="N132" s="468">
        <f t="shared" si="84"/>
        <v>16.158822989912192</v>
      </c>
      <c r="O132" s="478">
        <f>$F$22/O126</f>
        <v>15.470624216721616</v>
      </c>
      <c r="P132" s="468">
        <f>$F$22/P126</f>
        <v>12.940993135525551</v>
      </c>
      <c r="Q132" s="468">
        <f t="shared" ref="Q132:R132" si="85">$F$22/Q126</f>
        <v>11.47774713845563</v>
      </c>
      <c r="R132" s="468">
        <f t="shared" si="85"/>
        <v>10.250866469326116</v>
      </c>
      <c r="S132" s="468"/>
      <c r="T132" s="468">
        <f>$F$22/T126</f>
        <v>9.1985738224339499</v>
      </c>
      <c r="U132" s="468">
        <f>$F$22/T126</f>
        <v>9.1985738224339499</v>
      </c>
    </row>
  </sheetData>
  <mergeCells count="17">
    <mergeCell ref="AA60:AF60"/>
    <mergeCell ref="AB61:AF61"/>
    <mergeCell ref="Z62:Z67"/>
    <mergeCell ref="J108:N108"/>
    <mergeCell ref="P108:U108"/>
    <mergeCell ref="AY10:AY14"/>
    <mergeCell ref="AC25:AF25"/>
    <mergeCell ref="Z53:Z58"/>
    <mergeCell ref="J7:N7"/>
    <mergeCell ref="T7:X7"/>
    <mergeCell ref="AC7:AF7"/>
    <mergeCell ref="AR10:AR14"/>
    <mergeCell ref="AC39:AF39"/>
    <mergeCell ref="AC46:AF46"/>
    <mergeCell ref="J47:N47"/>
    <mergeCell ref="AA51:AF51"/>
    <mergeCell ref="AB52:AF52"/>
  </mergeCells>
  <dataValidations disablePrompts="1" count="2">
    <dataValidation type="list" allowBlank="1" showInputMessage="1" showErrorMessage="1" sqref="C5" xr:uid="{78BF7830-A104-B243-AE2B-66C1D3EA992D}">
      <formula1>"Yes, No"</formula1>
    </dataValidation>
    <dataValidation type="list" allowBlank="1" showInputMessage="1" showErrorMessage="1" sqref="C4" xr:uid="{797FF84E-1CBC-2343-8ABB-F241A8B5A726}">
      <formula1>"1,2,3,4,5"</formula1>
    </dataValidation>
  </dataValidations>
  <pageMargins left="0.7" right="0.7" top="0.75" bottom="0.75" header="0.3" footer="0.3"/>
  <ignoredErrors>
    <ignoredError sqref="J120 M120:N120 K120:L1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4196-D3B8-9F43-9F4A-8D11ACB97D88}">
  <sheetPr codeName="Sheet15"/>
  <dimension ref="A1:Q1714"/>
  <sheetViews>
    <sheetView workbookViewId="0">
      <selection activeCell="C131" sqref="C131"/>
    </sheetView>
  </sheetViews>
  <sheetFormatPr baseColWidth="10" defaultRowHeight="16"/>
  <cols>
    <col min="1" max="1" width="49.5" bestFit="1" customWidth="1"/>
    <col min="2" max="3" width="49.5" customWidth="1"/>
    <col min="4" max="4" width="19.6640625" bestFit="1" customWidth="1"/>
    <col min="5" max="5" width="15" bestFit="1" customWidth="1"/>
    <col min="6" max="6" width="11.6640625" customWidth="1"/>
    <col min="15" max="15" width="20.33203125" bestFit="1" customWidth="1"/>
    <col min="16" max="16" width="40.1640625" bestFit="1" customWidth="1"/>
    <col min="17" max="17" width="54.5" bestFit="1" customWidth="1"/>
    <col min="18" max="18" width="43.33203125" bestFit="1" customWidth="1"/>
    <col min="19" max="19" width="51.5" bestFit="1" customWidth="1"/>
    <col min="20" max="20" width="42.83203125" bestFit="1" customWidth="1"/>
    <col min="21" max="21" width="27.1640625" bestFit="1" customWidth="1"/>
    <col min="22" max="22" width="36.33203125" bestFit="1" customWidth="1"/>
    <col min="23" max="23" width="52" bestFit="1" customWidth="1"/>
    <col min="24" max="24" width="48.6640625" bestFit="1" customWidth="1"/>
    <col min="25" max="25" width="42.6640625" bestFit="1" customWidth="1"/>
    <col min="26" max="26" width="49.1640625" bestFit="1" customWidth="1"/>
    <col min="27" max="27" width="47.6640625" bestFit="1" customWidth="1"/>
    <col min="28" max="28" width="52" bestFit="1" customWidth="1"/>
    <col min="29" max="29" width="37" bestFit="1" customWidth="1"/>
    <col min="30" max="30" width="51.6640625" bestFit="1" customWidth="1"/>
    <col min="31" max="31" width="43.6640625" bestFit="1" customWidth="1"/>
    <col min="32" max="32" width="46.1640625" bestFit="1" customWidth="1"/>
    <col min="33" max="33" width="45.83203125" bestFit="1" customWidth="1"/>
    <col min="34" max="34" width="52" bestFit="1" customWidth="1"/>
    <col min="35" max="35" width="52.83203125" bestFit="1" customWidth="1"/>
    <col min="36" max="36" width="37" bestFit="1" customWidth="1"/>
    <col min="37" max="37" width="49.6640625" bestFit="1" customWidth="1"/>
    <col min="38" max="38" width="52.6640625" bestFit="1" customWidth="1"/>
    <col min="39" max="39" width="41.83203125" bestFit="1" customWidth="1"/>
    <col min="40" max="40" width="49.5" bestFit="1" customWidth="1"/>
    <col min="41" max="41" width="50.1640625" bestFit="1" customWidth="1"/>
    <col min="42" max="42" width="41.1640625" bestFit="1" customWidth="1"/>
    <col min="43" max="43" width="40.6640625" bestFit="1" customWidth="1"/>
    <col min="44" max="44" width="38.6640625" bestFit="1" customWidth="1"/>
    <col min="45" max="45" width="48.6640625" bestFit="1" customWidth="1"/>
    <col min="46" max="46" width="35.6640625" bestFit="1" customWidth="1"/>
    <col min="47" max="47" width="34.83203125" bestFit="1" customWidth="1"/>
    <col min="48" max="48" width="54.1640625" bestFit="1" customWidth="1"/>
    <col min="49" max="49" width="46" bestFit="1" customWidth="1"/>
    <col min="50" max="50" width="37.1640625" bestFit="1" customWidth="1"/>
    <col min="51" max="51" width="43.83203125" bestFit="1" customWidth="1"/>
    <col min="52" max="52" width="47.83203125" bestFit="1" customWidth="1"/>
    <col min="53" max="53" width="46.83203125" bestFit="1" customWidth="1"/>
    <col min="54" max="54" width="53.6640625" bestFit="1" customWidth="1"/>
    <col min="55" max="55" width="30.1640625" bestFit="1" customWidth="1"/>
    <col min="56" max="56" width="41.6640625" bestFit="1" customWidth="1"/>
    <col min="57" max="57" width="43.5" bestFit="1" customWidth="1"/>
    <col min="58" max="58" width="53" bestFit="1" customWidth="1"/>
    <col min="59" max="59" width="48.1640625" bestFit="1" customWidth="1"/>
    <col min="60" max="60" width="39.83203125" bestFit="1" customWidth="1"/>
    <col min="61" max="61" width="36.1640625" bestFit="1" customWidth="1"/>
    <col min="62" max="62" width="49.6640625" bestFit="1" customWidth="1"/>
    <col min="63" max="63" width="38.6640625" bestFit="1" customWidth="1"/>
    <col min="64" max="64" width="52.1640625" bestFit="1" customWidth="1"/>
    <col min="65" max="65" width="53" bestFit="1" customWidth="1"/>
    <col min="66" max="66" width="34" bestFit="1" customWidth="1"/>
    <col min="67" max="67" width="35.1640625" bestFit="1" customWidth="1"/>
    <col min="68" max="68" width="32.33203125" bestFit="1" customWidth="1"/>
    <col min="69" max="69" width="51.33203125" bestFit="1" customWidth="1"/>
    <col min="70" max="70" width="39.33203125" bestFit="1" customWidth="1"/>
    <col min="71" max="71" width="37.33203125" bestFit="1" customWidth="1"/>
    <col min="72" max="72" width="51.1640625" bestFit="1" customWidth="1"/>
    <col min="73" max="73" width="48.5" bestFit="1" customWidth="1"/>
    <col min="74" max="74" width="38.6640625" bestFit="1" customWidth="1"/>
    <col min="75" max="75" width="23" bestFit="1" customWidth="1"/>
    <col min="76" max="76" width="43.33203125" bestFit="1" customWidth="1"/>
    <col min="77" max="77" width="42.33203125" bestFit="1" customWidth="1"/>
    <col min="78" max="78" width="41.5" bestFit="1" customWidth="1"/>
    <col min="79" max="79" width="35.83203125" bestFit="1" customWidth="1"/>
    <col min="80" max="80" width="41.1640625" bestFit="1" customWidth="1"/>
    <col min="81" max="81" width="35" bestFit="1" customWidth="1"/>
    <col min="82" max="82" width="37.5" bestFit="1" customWidth="1"/>
    <col min="83" max="83" width="43.6640625" bestFit="1" customWidth="1"/>
    <col min="84" max="84" width="27.83203125" bestFit="1" customWidth="1"/>
    <col min="85" max="85" width="43.1640625" bestFit="1" customWidth="1"/>
    <col min="86" max="86" width="36.33203125" bestFit="1" customWidth="1"/>
    <col min="87" max="87" width="38.1640625" bestFit="1" customWidth="1"/>
    <col min="88" max="88" width="7.6640625" bestFit="1" customWidth="1"/>
    <col min="89" max="89" width="27.83203125" bestFit="1" customWidth="1"/>
    <col min="90" max="90" width="26.83203125" bestFit="1" customWidth="1"/>
    <col min="91" max="91" width="26" bestFit="1" customWidth="1"/>
    <col min="92" max="92" width="20.33203125" bestFit="1" customWidth="1"/>
    <col min="93" max="93" width="25.6640625" bestFit="1" customWidth="1"/>
    <col min="94" max="94" width="19.5" bestFit="1" customWidth="1"/>
    <col min="95" max="95" width="22" bestFit="1" customWidth="1"/>
    <col min="96" max="96" width="28.1640625" bestFit="1" customWidth="1"/>
    <col min="97" max="97" width="12.33203125" bestFit="1" customWidth="1"/>
    <col min="98" max="98" width="27.6640625" bestFit="1" customWidth="1"/>
    <col min="99" max="99" width="20.83203125" bestFit="1" customWidth="1"/>
    <col min="100" max="100" width="22.6640625" bestFit="1" customWidth="1"/>
    <col min="101" max="101" width="29.83203125" bestFit="1" customWidth="1"/>
    <col min="102" max="102" width="44.1640625" bestFit="1" customWidth="1"/>
    <col min="103" max="103" width="39.5" bestFit="1" customWidth="1"/>
    <col min="104" max="104" width="33" bestFit="1" customWidth="1"/>
    <col min="105" max="105" width="41.1640625" bestFit="1" customWidth="1"/>
    <col min="106" max="106" width="32.5" bestFit="1" customWidth="1"/>
    <col min="107" max="107" width="16.83203125" bestFit="1" customWidth="1"/>
    <col min="108" max="108" width="26" bestFit="1" customWidth="1"/>
    <col min="109" max="109" width="41.6640625" bestFit="1" customWidth="1"/>
    <col min="110" max="110" width="38.33203125" bestFit="1" customWidth="1"/>
    <col min="111" max="111" width="32.33203125" bestFit="1" customWidth="1"/>
    <col min="112" max="112" width="38.83203125" bestFit="1" customWidth="1"/>
    <col min="113" max="113" width="37.33203125" bestFit="1" customWidth="1"/>
    <col min="114" max="114" width="41.6640625" bestFit="1" customWidth="1"/>
    <col min="115" max="115" width="26.6640625" bestFit="1" customWidth="1"/>
    <col min="116" max="116" width="41.33203125" bestFit="1" customWidth="1"/>
    <col min="117" max="117" width="33.33203125" bestFit="1" customWidth="1"/>
    <col min="118" max="118" width="35.83203125" bestFit="1" customWidth="1"/>
    <col min="119" max="119" width="35.5" bestFit="1" customWidth="1"/>
    <col min="120" max="120" width="42.5" bestFit="1" customWidth="1"/>
    <col min="121" max="121" width="42.83203125" bestFit="1" customWidth="1"/>
    <col min="122" max="122" width="26.6640625" bestFit="1" customWidth="1"/>
    <col min="123" max="123" width="39.33203125" bestFit="1" customWidth="1"/>
    <col min="124" max="124" width="42.33203125" bestFit="1" customWidth="1"/>
    <col min="125" max="125" width="31.5" bestFit="1" customWidth="1"/>
    <col min="126" max="126" width="39.1640625" bestFit="1" customWidth="1"/>
    <col min="127" max="127" width="39.83203125" bestFit="1" customWidth="1"/>
    <col min="128" max="128" width="30.83203125" bestFit="1" customWidth="1"/>
    <col min="129" max="129" width="30.33203125" bestFit="1" customWidth="1"/>
    <col min="130" max="130" width="28.33203125" bestFit="1" customWidth="1"/>
    <col min="131" max="131" width="38.33203125" bestFit="1" customWidth="1"/>
    <col min="132" max="132" width="25.33203125" bestFit="1" customWidth="1"/>
    <col min="133" max="133" width="41.5" bestFit="1" customWidth="1"/>
    <col min="134" max="134" width="24.5" bestFit="1" customWidth="1"/>
    <col min="135" max="135" width="43.83203125" bestFit="1" customWidth="1"/>
    <col min="136" max="136" width="35.6640625" bestFit="1" customWidth="1"/>
    <col min="137" max="137" width="26.83203125" bestFit="1" customWidth="1"/>
    <col min="138" max="138" width="33.5" bestFit="1" customWidth="1"/>
    <col min="139" max="139" width="37.5" bestFit="1" customWidth="1"/>
    <col min="140" max="140" width="36.5" bestFit="1" customWidth="1"/>
    <col min="141" max="141" width="43.33203125" bestFit="1" customWidth="1"/>
    <col min="142" max="142" width="19.83203125" bestFit="1" customWidth="1"/>
    <col min="143" max="143" width="31.33203125" bestFit="1" customWidth="1"/>
    <col min="144" max="144" width="33.1640625" bestFit="1" customWidth="1"/>
    <col min="145" max="145" width="42.6640625" bestFit="1" customWidth="1"/>
    <col min="146" max="146" width="37.83203125" bestFit="1" customWidth="1"/>
    <col min="147" max="147" width="29.5" bestFit="1" customWidth="1"/>
    <col min="148" max="148" width="25.83203125" bestFit="1" customWidth="1"/>
    <col min="149" max="149" width="39.33203125" bestFit="1" customWidth="1"/>
    <col min="150" max="150" width="28.33203125" bestFit="1" customWidth="1"/>
    <col min="151" max="151" width="36.1640625" bestFit="1" customWidth="1"/>
    <col min="152" max="152" width="41.83203125" bestFit="1" customWidth="1"/>
    <col min="153" max="153" width="42.6640625" bestFit="1" customWidth="1"/>
    <col min="154" max="154" width="23.6640625" bestFit="1" customWidth="1"/>
    <col min="155" max="155" width="24.83203125" bestFit="1" customWidth="1"/>
    <col min="156" max="156" width="22" bestFit="1" customWidth="1"/>
    <col min="157" max="157" width="41" bestFit="1" customWidth="1"/>
    <col min="158" max="158" width="29" bestFit="1" customWidth="1"/>
    <col min="159" max="159" width="27" bestFit="1" customWidth="1"/>
    <col min="160" max="160" width="40.83203125" bestFit="1" customWidth="1"/>
    <col min="161" max="161" width="38.1640625" bestFit="1" customWidth="1"/>
    <col min="162" max="162" width="28.33203125" bestFit="1" customWidth="1"/>
    <col min="163" max="163" width="20.33203125" bestFit="1" customWidth="1"/>
    <col min="164" max="164" width="40.6640625" bestFit="1" customWidth="1"/>
    <col min="165" max="165" width="39.6640625" bestFit="1" customWidth="1"/>
    <col min="166" max="166" width="39" bestFit="1" customWidth="1"/>
    <col min="167" max="167" width="33.33203125" bestFit="1" customWidth="1"/>
    <col min="168" max="168" width="38.6640625" bestFit="1" customWidth="1"/>
    <col min="169" max="169" width="32.5" bestFit="1" customWidth="1"/>
    <col min="170" max="170" width="34.83203125" bestFit="1" customWidth="1"/>
    <col min="171" max="171" width="41" bestFit="1" customWidth="1"/>
    <col min="172" max="172" width="25.1640625" bestFit="1" customWidth="1"/>
    <col min="173" max="173" width="40.5" bestFit="1" customWidth="1"/>
    <col min="174" max="174" width="33.83203125" bestFit="1" customWidth="1"/>
    <col min="175" max="175" width="35.5" bestFit="1" customWidth="1"/>
    <col min="176" max="176" width="35.6640625" bestFit="1" customWidth="1"/>
    <col min="177" max="177" width="44.83203125" bestFit="1" customWidth="1"/>
    <col min="178" max="178" width="50" bestFit="1" customWidth="1"/>
    <col min="179" max="179" width="45.33203125" bestFit="1" customWidth="1"/>
    <col min="180" max="180" width="48.5" bestFit="1" customWidth="1"/>
    <col min="181" max="181" width="38.83203125" bestFit="1" customWidth="1"/>
    <col min="182" max="182" width="47" bestFit="1" customWidth="1"/>
    <col min="183" max="183" width="38.33203125" bestFit="1" customWidth="1"/>
    <col min="184" max="184" width="22.6640625" bestFit="1" customWidth="1"/>
    <col min="185" max="185" width="32" bestFit="1" customWidth="1"/>
    <col min="186" max="186" width="47.6640625" bestFit="1" customWidth="1"/>
    <col min="187" max="187" width="44.1640625" bestFit="1" customWidth="1"/>
    <col min="188" max="188" width="38.1640625" bestFit="1" customWidth="1"/>
    <col min="189" max="189" width="44.6640625" bestFit="1" customWidth="1"/>
    <col min="190" max="190" width="43.1640625" bestFit="1" customWidth="1"/>
    <col min="191" max="191" width="47.6640625" bestFit="1" customWidth="1"/>
    <col min="192" max="192" width="32.5" bestFit="1" customWidth="1"/>
    <col min="193" max="193" width="47.33203125" bestFit="1" customWidth="1"/>
    <col min="194" max="194" width="39.1640625" bestFit="1" customWidth="1"/>
    <col min="195" max="195" width="41.6640625" bestFit="1" customWidth="1"/>
    <col min="196" max="196" width="41.33203125" bestFit="1" customWidth="1"/>
    <col min="197" max="197" width="47.6640625" bestFit="1" customWidth="1"/>
    <col min="198" max="198" width="48.33203125" bestFit="1" customWidth="1"/>
    <col min="199" max="199" width="48.6640625" bestFit="1" customWidth="1"/>
    <col min="200" max="200" width="32.5" bestFit="1" customWidth="1"/>
    <col min="201" max="201" width="45.1640625" bestFit="1" customWidth="1"/>
    <col min="202" max="202" width="48.1640625" bestFit="1" customWidth="1"/>
    <col min="203" max="203" width="37.5" bestFit="1" customWidth="1"/>
    <col min="204" max="204" width="45" bestFit="1" customWidth="1"/>
    <col min="205" max="205" width="45.6640625" bestFit="1" customWidth="1"/>
    <col min="206" max="206" width="36.6640625" bestFit="1" customWidth="1"/>
    <col min="207" max="207" width="36.1640625" bestFit="1" customWidth="1"/>
    <col min="208" max="208" width="34.1640625" bestFit="1" customWidth="1"/>
    <col min="209" max="209" width="44.1640625" bestFit="1" customWidth="1"/>
    <col min="210" max="210" width="31.1640625" bestFit="1" customWidth="1"/>
    <col min="211" max="211" width="41.5" bestFit="1" customWidth="1"/>
    <col min="212" max="212" width="47.5" bestFit="1" customWidth="1"/>
    <col min="213" max="213" width="30.33203125" bestFit="1" customWidth="1"/>
    <col min="214" max="214" width="49.6640625" bestFit="1" customWidth="1"/>
    <col min="215" max="215" width="41.5" bestFit="1" customWidth="1"/>
    <col min="216" max="216" width="32.6640625" bestFit="1" customWidth="1"/>
    <col min="217" max="217" width="39.33203125" bestFit="1" customWidth="1"/>
    <col min="218" max="218" width="43.33203125" bestFit="1" customWidth="1"/>
    <col min="219" max="219" width="42.5" bestFit="1" customWidth="1"/>
    <col min="220" max="220" width="49.1640625" bestFit="1" customWidth="1"/>
    <col min="221" max="221" width="25.6640625" bestFit="1" customWidth="1"/>
    <col min="222" max="222" width="37.33203125" bestFit="1" customWidth="1"/>
    <col min="223" max="223" width="39" bestFit="1" customWidth="1"/>
    <col min="224" max="224" width="48.5" bestFit="1" customWidth="1"/>
    <col min="225" max="225" width="43.6640625" bestFit="1" customWidth="1"/>
    <col min="226" max="226" width="35.33203125" bestFit="1" customWidth="1"/>
    <col min="227" max="227" width="31.83203125" bestFit="1" customWidth="1"/>
    <col min="228" max="228" width="45.1640625" bestFit="1" customWidth="1"/>
    <col min="229" max="229" width="34.1640625" bestFit="1" customWidth="1"/>
    <col min="230" max="230" width="47.83203125" bestFit="1" customWidth="1"/>
    <col min="231" max="231" width="48.5" bestFit="1" customWidth="1"/>
    <col min="232" max="232" width="29.5" bestFit="1" customWidth="1"/>
    <col min="233" max="233" width="30.6640625" bestFit="1" customWidth="1"/>
    <col min="234" max="234" width="27.83203125" bestFit="1" customWidth="1"/>
    <col min="235" max="235" width="46.83203125" bestFit="1" customWidth="1"/>
    <col min="236" max="236" width="34.83203125" bestFit="1" customWidth="1"/>
    <col min="237" max="237" width="32.83203125" bestFit="1" customWidth="1"/>
    <col min="238" max="238" width="46.6640625" bestFit="1" customWidth="1"/>
    <col min="239" max="239" width="44" bestFit="1" customWidth="1"/>
    <col min="240" max="240" width="34.1640625" bestFit="1" customWidth="1"/>
    <col min="241" max="241" width="15" bestFit="1" customWidth="1"/>
    <col min="242" max="242" width="35.33203125" bestFit="1" customWidth="1"/>
    <col min="243" max="243" width="34.33203125" bestFit="1" customWidth="1"/>
    <col min="244" max="244" width="33.6640625" bestFit="1" customWidth="1"/>
    <col min="245" max="245" width="28" bestFit="1" customWidth="1"/>
    <col min="246" max="246" width="33.33203125" bestFit="1" customWidth="1"/>
    <col min="247" max="247" width="27.1640625" bestFit="1" customWidth="1"/>
    <col min="248" max="248" width="29.5" bestFit="1" customWidth="1"/>
    <col min="249" max="249" width="35.6640625" bestFit="1" customWidth="1"/>
    <col min="250" max="250" width="19.83203125" bestFit="1" customWidth="1"/>
    <col min="251" max="251" width="35.1640625" bestFit="1" customWidth="1"/>
    <col min="252" max="252" width="28.5" bestFit="1" customWidth="1"/>
    <col min="253" max="253" width="30.1640625" bestFit="1" customWidth="1"/>
    <col min="254" max="254" width="37" bestFit="1" customWidth="1"/>
    <col min="255" max="255" width="51.1640625" bestFit="1" customWidth="1"/>
    <col min="256" max="256" width="46.5" bestFit="1" customWidth="1"/>
    <col min="257" max="257" width="40" bestFit="1" customWidth="1"/>
    <col min="258" max="258" width="48.33203125" bestFit="1" customWidth="1"/>
    <col min="259" max="259" width="39.5" bestFit="1" customWidth="1"/>
    <col min="260" max="260" width="23.83203125" bestFit="1" customWidth="1"/>
    <col min="261" max="261" width="33.1640625" bestFit="1" customWidth="1"/>
    <col min="262" max="262" width="48.83203125" bestFit="1" customWidth="1"/>
    <col min="263" max="263" width="45.33203125" bestFit="1" customWidth="1"/>
    <col min="264" max="264" width="39.33203125" bestFit="1" customWidth="1"/>
    <col min="265" max="265" width="45.83203125" bestFit="1" customWidth="1"/>
    <col min="266" max="266" width="44.33203125" bestFit="1" customWidth="1"/>
    <col min="267" max="267" width="48.83203125" bestFit="1" customWidth="1"/>
    <col min="268" max="268" width="33.6640625" bestFit="1" customWidth="1"/>
    <col min="269" max="269" width="48.5" bestFit="1" customWidth="1"/>
    <col min="270" max="270" width="40.33203125" bestFit="1" customWidth="1"/>
    <col min="271" max="271" width="43" bestFit="1" customWidth="1"/>
    <col min="272" max="272" width="42.6640625" bestFit="1" customWidth="1"/>
    <col min="273" max="273" width="48.83203125" bestFit="1" customWidth="1"/>
    <col min="274" max="274" width="49.5" bestFit="1" customWidth="1"/>
    <col min="275" max="275" width="49.83203125" bestFit="1" customWidth="1"/>
    <col min="276" max="276" width="33.6640625" bestFit="1" customWidth="1"/>
    <col min="277" max="277" width="46.33203125" bestFit="1" customWidth="1"/>
    <col min="278" max="278" width="49.33203125" bestFit="1" customWidth="1"/>
    <col min="279" max="279" width="38.6640625" bestFit="1" customWidth="1"/>
    <col min="280" max="280" width="46.1640625" bestFit="1" customWidth="1"/>
    <col min="281" max="281" width="46.83203125" bestFit="1" customWidth="1"/>
    <col min="282" max="282" width="38" bestFit="1" customWidth="1"/>
    <col min="283" max="283" width="37.5" bestFit="1" customWidth="1"/>
    <col min="284" max="284" width="35.33203125" bestFit="1" customWidth="1"/>
    <col min="285" max="285" width="45.33203125" bestFit="1" customWidth="1"/>
    <col min="286" max="286" width="32.5" bestFit="1" customWidth="1"/>
    <col min="287" max="287" width="31.5" bestFit="1" customWidth="1"/>
    <col min="288" max="288" width="50.83203125" bestFit="1" customWidth="1"/>
    <col min="289" max="289" width="42.83203125" bestFit="1" customWidth="1"/>
    <col min="290" max="290" width="33.83203125" bestFit="1" customWidth="1"/>
    <col min="291" max="291" width="40.5" bestFit="1" customWidth="1"/>
    <col min="292" max="292" width="44.5" bestFit="1" customWidth="1"/>
    <col min="293" max="293" width="43.6640625" bestFit="1" customWidth="1"/>
    <col min="294" max="294" width="50.33203125" bestFit="1" customWidth="1"/>
    <col min="295" max="295" width="27" bestFit="1" customWidth="1"/>
    <col min="296" max="296" width="38.5" bestFit="1" customWidth="1"/>
    <col min="297" max="297" width="40.1640625" bestFit="1" customWidth="1"/>
    <col min="298" max="298" width="49.6640625" bestFit="1" customWidth="1"/>
    <col min="299" max="299" width="44.83203125" bestFit="1" customWidth="1"/>
    <col min="300" max="300" width="36.5" bestFit="1" customWidth="1"/>
    <col min="301" max="301" width="33" bestFit="1" customWidth="1"/>
    <col min="302" max="302" width="46.33203125" bestFit="1" customWidth="1"/>
    <col min="303" max="303" width="35.33203125" bestFit="1" customWidth="1"/>
    <col min="304" max="304" width="43.33203125" bestFit="1" customWidth="1"/>
    <col min="305" max="305" width="49" bestFit="1" customWidth="1"/>
    <col min="306" max="306" width="49.6640625" bestFit="1" customWidth="1"/>
    <col min="307" max="307" width="30.6640625" bestFit="1" customWidth="1"/>
    <col min="308" max="308" width="32" bestFit="1" customWidth="1"/>
    <col min="309" max="309" width="29" bestFit="1" customWidth="1"/>
    <col min="310" max="310" width="48.1640625" bestFit="1" customWidth="1"/>
    <col min="311" max="311" width="36" bestFit="1" customWidth="1"/>
    <col min="312" max="312" width="34" bestFit="1" customWidth="1"/>
    <col min="313" max="313" width="48" bestFit="1" customWidth="1"/>
    <col min="314" max="314" width="45.1640625" bestFit="1" customWidth="1"/>
    <col min="315" max="315" width="35.33203125" bestFit="1" customWidth="1"/>
    <col min="316" max="316" width="19.5" bestFit="1" customWidth="1"/>
    <col min="317" max="317" width="39.83203125" bestFit="1" customWidth="1"/>
    <col min="318" max="318" width="38.83203125" bestFit="1" customWidth="1"/>
    <col min="319" max="319" width="38.1640625" bestFit="1" customWidth="1"/>
    <col min="320" max="320" width="32.5" bestFit="1" customWidth="1"/>
    <col min="321" max="321" width="37.83203125" bestFit="1" customWidth="1"/>
    <col min="322" max="322" width="31.5" bestFit="1" customWidth="1"/>
    <col min="323" max="323" width="34" bestFit="1" customWidth="1"/>
    <col min="324" max="324" width="40.1640625" bestFit="1" customWidth="1"/>
    <col min="325" max="325" width="24.33203125" bestFit="1" customWidth="1"/>
    <col min="326" max="326" width="39.6640625" bestFit="1" customWidth="1"/>
    <col min="327" max="327" width="33" bestFit="1" customWidth="1"/>
    <col min="328" max="328" width="34.6640625" bestFit="1" customWidth="1"/>
    <col min="329" max="329" width="37" bestFit="1" customWidth="1"/>
    <col min="330" max="330" width="51.1640625" bestFit="1" customWidth="1"/>
    <col min="331" max="331" width="46.5" bestFit="1" customWidth="1"/>
    <col min="332" max="332" width="49.6640625" bestFit="1" customWidth="1"/>
    <col min="333" max="333" width="40" bestFit="1" customWidth="1"/>
    <col min="334" max="334" width="48.33203125" bestFit="1" customWidth="1"/>
    <col min="335" max="335" width="39.5" bestFit="1" customWidth="1"/>
    <col min="336" max="336" width="23.83203125" bestFit="1" customWidth="1"/>
    <col min="337" max="337" width="33.1640625" bestFit="1" customWidth="1"/>
    <col min="338" max="338" width="48.83203125" bestFit="1" customWidth="1"/>
    <col min="339" max="339" width="45.33203125" bestFit="1" customWidth="1"/>
    <col min="340" max="340" width="39.33203125" bestFit="1" customWidth="1"/>
    <col min="341" max="341" width="45.83203125" bestFit="1" customWidth="1"/>
    <col min="342" max="342" width="44.33203125" bestFit="1" customWidth="1"/>
    <col min="343" max="343" width="48.83203125" bestFit="1" customWidth="1"/>
    <col min="344" max="344" width="33.6640625" bestFit="1" customWidth="1"/>
    <col min="345" max="345" width="48.5" bestFit="1" customWidth="1"/>
    <col min="346" max="346" width="40.33203125" bestFit="1" customWidth="1"/>
    <col min="347" max="347" width="43" bestFit="1" customWidth="1"/>
    <col min="348" max="348" width="42.6640625" bestFit="1" customWidth="1"/>
    <col min="349" max="349" width="48.83203125" bestFit="1" customWidth="1"/>
    <col min="350" max="350" width="49.5" bestFit="1" customWidth="1"/>
    <col min="351" max="351" width="49.83203125" bestFit="1" customWidth="1"/>
    <col min="352" max="352" width="33.6640625" bestFit="1" customWidth="1"/>
    <col min="353" max="353" width="46.33203125" bestFit="1" customWidth="1"/>
    <col min="354" max="354" width="49.33203125" bestFit="1" customWidth="1"/>
    <col min="355" max="355" width="38.6640625" bestFit="1" customWidth="1"/>
    <col min="356" max="356" width="46.1640625" bestFit="1" customWidth="1"/>
    <col min="357" max="357" width="46.83203125" bestFit="1" customWidth="1"/>
    <col min="358" max="358" width="38" bestFit="1" customWidth="1"/>
    <col min="359" max="359" width="37.5" bestFit="1" customWidth="1"/>
    <col min="360" max="360" width="35.33203125" bestFit="1" customWidth="1"/>
    <col min="361" max="361" width="45.33203125" bestFit="1" customWidth="1"/>
    <col min="362" max="362" width="32.5" bestFit="1" customWidth="1"/>
    <col min="363" max="363" width="31.5" bestFit="1" customWidth="1"/>
    <col min="364" max="364" width="50.83203125" bestFit="1" customWidth="1"/>
    <col min="365" max="365" width="42.83203125" bestFit="1" customWidth="1"/>
    <col min="366" max="366" width="33.83203125" bestFit="1" customWidth="1"/>
    <col min="367" max="367" width="40.5" bestFit="1" customWidth="1"/>
    <col min="368" max="368" width="44.5" bestFit="1" customWidth="1"/>
    <col min="369" max="369" width="43.6640625" bestFit="1" customWidth="1"/>
    <col min="370" max="370" width="50.33203125" bestFit="1" customWidth="1"/>
    <col min="371" max="371" width="27" bestFit="1" customWidth="1"/>
    <col min="372" max="372" width="38.5" bestFit="1" customWidth="1"/>
    <col min="373" max="373" width="40.1640625" bestFit="1" customWidth="1"/>
    <col min="374" max="374" width="49.6640625" bestFit="1" customWidth="1"/>
    <col min="375" max="375" width="44.83203125" bestFit="1" customWidth="1"/>
    <col min="376" max="376" width="36.5" bestFit="1" customWidth="1"/>
    <col min="377" max="377" width="33" bestFit="1" customWidth="1"/>
    <col min="378" max="378" width="46.33203125" bestFit="1" customWidth="1"/>
    <col min="379" max="379" width="35.33203125" bestFit="1" customWidth="1"/>
    <col min="380" max="380" width="49" bestFit="1" customWidth="1"/>
    <col min="381" max="381" width="49.6640625" bestFit="1" customWidth="1"/>
    <col min="382" max="382" width="30.6640625" bestFit="1" customWidth="1"/>
    <col min="383" max="383" width="32" bestFit="1" customWidth="1"/>
    <col min="384" max="384" width="29" bestFit="1" customWidth="1"/>
    <col min="385" max="385" width="48.1640625" bestFit="1" customWidth="1"/>
    <col min="386" max="386" width="36" bestFit="1" customWidth="1"/>
    <col min="387" max="387" width="34" bestFit="1" customWidth="1"/>
    <col min="388" max="388" width="48" bestFit="1" customWidth="1"/>
    <col min="389" max="389" width="45.1640625" bestFit="1" customWidth="1"/>
    <col min="390" max="390" width="35.33203125" bestFit="1" customWidth="1"/>
    <col min="391" max="391" width="4.83203125" bestFit="1" customWidth="1"/>
    <col min="392" max="392" width="24.83203125" bestFit="1" customWidth="1"/>
    <col min="393" max="393" width="23.83203125" bestFit="1" customWidth="1"/>
    <col min="394" max="394" width="23.1640625" bestFit="1" customWidth="1"/>
    <col min="395" max="395" width="17.5" bestFit="1" customWidth="1"/>
    <col min="396" max="396" width="22.83203125" bestFit="1" customWidth="1"/>
    <col min="397" max="397" width="16.6640625" bestFit="1" customWidth="1"/>
    <col min="398" max="398" width="19" bestFit="1" customWidth="1"/>
    <col min="399" max="399" width="25.1640625" bestFit="1" customWidth="1"/>
    <col min="400" max="400" width="9.5" bestFit="1" customWidth="1"/>
    <col min="401" max="401" width="24.6640625" bestFit="1" customWidth="1"/>
    <col min="402" max="402" width="18" bestFit="1" customWidth="1"/>
    <col min="403" max="403" width="19.6640625" bestFit="1" customWidth="1"/>
    <col min="404" max="404" width="27.6640625" bestFit="1" customWidth="1"/>
    <col min="405" max="405" width="37.33203125" bestFit="1" customWidth="1"/>
    <col min="406" max="406" width="40.33203125" bestFit="1" customWidth="1"/>
    <col min="407" max="407" width="30.6640625" bestFit="1" customWidth="1"/>
    <col min="408" max="408" width="39" bestFit="1" customWidth="1"/>
    <col min="409" max="409" width="30.1640625" bestFit="1" customWidth="1"/>
    <col min="410" max="410" width="14.5" bestFit="1" customWidth="1"/>
    <col min="411" max="411" width="23.83203125" bestFit="1" customWidth="1"/>
    <col min="412" max="412" width="39.5" bestFit="1" customWidth="1"/>
    <col min="413" max="413" width="36" bestFit="1" customWidth="1"/>
    <col min="414" max="414" width="30" bestFit="1" customWidth="1"/>
    <col min="415" max="415" width="36.5" bestFit="1" customWidth="1"/>
    <col min="416" max="416" width="35" bestFit="1" customWidth="1"/>
    <col min="417" max="417" width="39.5" bestFit="1" customWidth="1"/>
    <col min="418" max="418" width="24.33203125" bestFit="1" customWidth="1"/>
    <col min="419" max="419" width="39.1640625" bestFit="1" customWidth="1"/>
    <col min="420" max="420" width="31" bestFit="1" customWidth="1"/>
    <col min="421" max="421" width="33.6640625" bestFit="1" customWidth="1"/>
    <col min="422" max="422" width="33.33203125" bestFit="1" customWidth="1"/>
    <col min="423" max="423" width="39.5" bestFit="1" customWidth="1"/>
    <col min="424" max="424" width="40.1640625" bestFit="1" customWidth="1"/>
    <col min="425" max="425" width="37.1640625" bestFit="1" customWidth="1"/>
    <col min="426" max="426" width="40" bestFit="1" customWidth="1"/>
    <col min="427" max="427" width="29.33203125" bestFit="1" customWidth="1"/>
    <col min="428" max="428" width="37" bestFit="1" customWidth="1"/>
    <col min="429" max="429" width="37.6640625" bestFit="1" customWidth="1"/>
    <col min="430" max="430" width="28.6640625" bestFit="1" customWidth="1"/>
    <col min="431" max="431" width="28.1640625" bestFit="1" customWidth="1"/>
    <col min="432" max="432" width="26" bestFit="1" customWidth="1"/>
    <col min="433" max="433" width="36" bestFit="1" customWidth="1"/>
    <col min="434" max="434" width="23.1640625" bestFit="1" customWidth="1"/>
    <col min="435" max="435" width="39.33203125" bestFit="1" customWidth="1"/>
    <col min="436" max="436" width="22.33203125" bestFit="1" customWidth="1"/>
    <col min="437" max="437" width="41.5" bestFit="1" customWidth="1"/>
    <col min="438" max="438" width="33.5" bestFit="1" customWidth="1"/>
    <col min="439" max="439" width="24.5" bestFit="1" customWidth="1"/>
    <col min="440" max="440" width="31.1640625" bestFit="1" customWidth="1"/>
    <col min="441" max="441" width="35.1640625" bestFit="1" customWidth="1"/>
    <col min="442" max="442" width="34.33203125" bestFit="1" customWidth="1"/>
    <col min="443" max="443" width="41" bestFit="1" customWidth="1"/>
    <col min="444" max="444" width="17.6640625" bestFit="1" customWidth="1"/>
    <col min="445" max="445" width="29.1640625" bestFit="1" customWidth="1"/>
    <col min="446" max="446" width="30.83203125" bestFit="1" customWidth="1"/>
    <col min="447" max="447" width="40.33203125" bestFit="1" customWidth="1"/>
    <col min="448" max="448" width="35.5" bestFit="1" customWidth="1"/>
    <col min="449" max="449" width="27.33203125" bestFit="1" customWidth="1"/>
    <col min="450" max="450" width="23.6640625" bestFit="1" customWidth="1"/>
    <col min="451" max="451" width="37.1640625" bestFit="1" customWidth="1"/>
    <col min="452" max="452" width="26" bestFit="1" customWidth="1"/>
    <col min="453" max="453" width="34" bestFit="1" customWidth="1"/>
    <col min="454" max="454" width="39.6640625" bestFit="1" customWidth="1"/>
    <col min="455" max="455" width="40.33203125" bestFit="1" customWidth="1"/>
    <col min="456" max="456" width="21.5" bestFit="1" customWidth="1"/>
    <col min="457" max="457" width="22.6640625" bestFit="1" customWidth="1"/>
    <col min="458" max="458" width="19.6640625" bestFit="1" customWidth="1"/>
    <col min="459" max="459" width="38.83203125" bestFit="1" customWidth="1"/>
    <col min="460" max="460" width="26.83203125" bestFit="1" customWidth="1"/>
    <col min="461" max="461" width="24.6640625" bestFit="1" customWidth="1"/>
    <col min="462" max="462" width="38.6640625" bestFit="1" customWidth="1"/>
    <col min="463" max="463" width="35.83203125" bestFit="1" customWidth="1"/>
    <col min="464" max="464" width="26" bestFit="1" customWidth="1"/>
    <col min="465" max="465" width="39.6640625" bestFit="1" customWidth="1"/>
    <col min="466" max="466" width="54" bestFit="1" customWidth="1"/>
    <col min="467" max="467" width="49.33203125" bestFit="1" customWidth="1"/>
    <col min="468" max="468" width="52.5" bestFit="1" customWidth="1"/>
    <col min="469" max="469" width="42.83203125" bestFit="1" customWidth="1"/>
    <col min="470" max="470" width="51" bestFit="1" customWidth="1"/>
    <col min="471" max="471" width="42.33203125" bestFit="1" customWidth="1"/>
    <col min="472" max="472" width="26.6640625" bestFit="1" customWidth="1"/>
    <col min="473" max="473" width="35.83203125" bestFit="1" customWidth="1"/>
    <col min="474" max="474" width="51.5" bestFit="1" customWidth="1"/>
    <col min="475" max="475" width="48.1640625" bestFit="1" customWidth="1"/>
    <col min="476" max="476" width="42.1640625" bestFit="1" customWidth="1"/>
    <col min="477" max="477" width="48.6640625" bestFit="1" customWidth="1"/>
    <col min="478" max="478" width="47" bestFit="1" customWidth="1"/>
    <col min="479" max="479" width="51.5" bestFit="1" customWidth="1"/>
    <col min="480" max="480" width="36.33203125" bestFit="1" customWidth="1"/>
    <col min="481" max="481" width="51.1640625" bestFit="1" customWidth="1"/>
    <col min="482" max="482" width="43.1640625" bestFit="1" customWidth="1"/>
    <col min="483" max="483" width="45.6640625" bestFit="1" customWidth="1"/>
    <col min="484" max="484" width="45.33203125" bestFit="1" customWidth="1"/>
    <col min="485" max="485" width="51.5" bestFit="1" customWidth="1"/>
    <col min="486" max="486" width="52.1640625" bestFit="1" customWidth="1"/>
    <col min="487" max="487" width="52.6640625" bestFit="1" customWidth="1"/>
    <col min="488" max="488" width="36.33203125" bestFit="1" customWidth="1"/>
    <col min="489" max="489" width="49.1640625" bestFit="1" customWidth="1"/>
    <col min="490" max="490" width="52" bestFit="1" customWidth="1"/>
    <col min="491" max="491" width="41.33203125" bestFit="1" customWidth="1"/>
    <col min="492" max="492" width="49" bestFit="1" customWidth="1"/>
    <col min="493" max="493" width="49.6640625" bestFit="1" customWidth="1"/>
    <col min="494" max="494" width="40.6640625" bestFit="1" customWidth="1"/>
    <col min="495" max="495" width="40.1640625" bestFit="1" customWidth="1"/>
    <col min="496" max="496" width="38.1640625" bestFit="1" customWidth="1"/>
    <col min="497" max="497" width="48.1640625" bestFit="1" customWidth="1"/>
    <col min="498" max="498" width="35.1640625" bestFit="1" customWidth="1"/>
    <col min="499" max="499" width="51.33203125" bestFit="1" customWidth="1"/>
    <col min="500" max="500" width="34.33203125" bestFit="1" customWidth="1"/>
    <col min="501" max="501" width="53.6640625" bestFit="1" customWidth="1"/>
    <col min="502" max="502" width="45.5" bestFit="1" customWidth="1"/>
    <col min="503" max="503" width="36.5" bestFit="1" customWidth="1"/>
    <col min="504" max="504" width="43.33203125" bestFit="1" customWidth="1"/>
    <col min="505" max="505" width="47.33203125" bestFit="1" customWidth="1"/>
    <col min="506" max="506" width="46.33203125" bestFit="1" customWidth="1"/>
    <col min="507" max="507" width="53.1640625" bestFit="1" customWidth="1"/>
    <col min="508" max="508" width="29.6640625" bestFit="1" customWidth="1"/>
    <col min="509" max="509" width="41.1640625" bestFit="1" customWidth="1"/>
    <col min="510" max="510" width="43" bestFit="1" customWidth="1"/>
    <col min="511" max="511" width="52.5" bestFit="1" customWidth="1"/>
    <col min="512" max="512" width="47.6640625" bestFit="1" customWidth="1"/>
    <col min="513" max="513" width="39.33203125" bestFit="1" customWidth="1"/>
    <col min="514" max="514" width="35.6640625" bestFit="1" customWidth="1"/>
    <col min="515" max="515" width="49.1640625" bestFit="1" customWidth="1"/>
    <col min="516" max="516" width="38.1640625" bestFit="1" customWidth="1"/>
    <col min="517" max="517" width="51.6640625" bestFit="1" customWidth="1"/>
    <col min="518" max="518" width="52.5" bestFit="1" customWidth="1"/>
    <col min="519" max="519" width="33.5" bestFit="1" customWidth="1"/>
    <col min="520" max="520" width="34.6640625" bestFit="1" customWidth="1"/>
    <col min="521" max="521" width="31.83203125" bestFit="1" customWidth="1"/>
    <col min="522" max="522" width="50.83203125" bestFit="1" customWidth="1"/>
    <col min="523" max="523" width="38.83203125" bestFit="1" customWidth="1"/>
    <col min="524" max="524" width="36.6640625" bestFit="1" customWidth="1"/>
    <col min="525" max="525" width="50.6640625" bestFit="1" customWidth="1"/>
    <col min="526" max="526" width="48" bestFit="1" customWidth="1"/>
    <col min="527" max="527" width="38.1640625" bestFit="1" customWidth="1"/>
    <col min="528" max="528" width="19" bestFit="1" customWidth="1"/>
    <col min="529" max="529" width="39.33203125" bestFit="1" customWidth="1"/>
    <col min="530" max="530" width="38.33203125" bestFit="1" customWidth="1"/>
    <col min="531" max="531" width="37.6640625" bestFit="1" customWidth="1"/>
    <col min="532" max="532" width="32" bestFit="1" customWidth="1"/>
    <col min="533" max="533" width="37.33203125" bestFit="1" customWidth="1"/>
    <col min="534" max="534" width="31" bestFit="1" customWidth="1"/>
    <col min="535" max="535" width="33.5" bestFit="1" customWidth="1"/>
    <col min="536" max="536" width="39.6640625" bestFit="1" customWidth="1"/>
    <col min="537" max="537" width="23.83203125" bestFit="1" customWidth="1"/>
    <col min="538" max="538" width="39.1640625" bestFit="1" customWidth="1"/>
    <col min="539" max="539" width="32.5" bestFit="1" customWidth="1"/>
    <col min="540" max="540" width="34.1640625" bestFit="1" customWidth="1"/>
    <col min="541" max="541" width="41.6640625" bestFit="1" customWidth="1"/>
    <col min="542" max="542" width="56" bestFit="1" customWidth="1"/>
    <col min="543" max="543" width="51.33203125" bestFit="1" customWidth="1"/>
    <col min="544" max="544" width="54.5" bestFit="1" customWidth="1"/>
    <col min="545" max="545" width="44.83203125" bestFit="1" customWidth="1"/>
    <col min="546" max="546" width="53.1640625" bestFit="1" customWidth="1"/>
    <col min="547" max="547" width="44.33203125" bestFit="1" customWidth="1"/>
    <col min="548" max="548" width="28.6640625" bestFit="1" customWidth="1"/>
    <col min="549" max="549" width="38" bestFit="1" customWidth="1"/>
    <col min="550" max="550" width="53.6640625" bestFit="1" customWidth="1"/>
    <col min="551" max="551" width="50.1640625" bestFit="1" customWidth="1"/>
    <col min="552" max="552" width="44.1640625" bestFit="1" customWidth="1"/>
    <col min="553" max="553" width="50.6640625" bestFit="1" customWidth="1"/>
    <col min="554" max="554" width="49.1640625" bestFit="1" customWidth="1"/>
    <col min="555" max="555" width="53.6640625" bestFit="1" customWidth="1"/>
    <col min="556" max="556" width="38.5" bestFit="1" customWidth="1"/>
    <col min="557" max="557" width="53.33203125" bestFit="1" customWidth="1"/>
    <col min="558" max="558" width="45.1640625" bestFit="1" customWidth="1"/>
    <col min="559" max="559" width="47.83203125" bestFit="1" customWidth="1"/>
    <col min="560" max="560" width="47.5" bestFit="1" customWidth="1"/>
    <col min="561" max="561" width="53.6640625" bestFit="1" customWidth="1"/>
    <col min="562" max="562" width="54.33203125" bestFit="1" customWidth="1"/>
    <col min="563" max="563" width="54.6640625" bestFit="1" customWidth="1"/>
    <col min="564" max="564" width="38.5" bestFit="1" customWidth="1"/>
    <col min="565" max="565" width="51.1640625" bestFit="1" customWidth="1"/>
    <col min="566" max="566" width="54.1640625" bestFit="1" customWidth="1"/>
    <col min="567" max="567" width="43.5" bestFit="1" customWidth="1"/>
    <col min="568" max="568" width="51" bestFit="1" customWidth="1"/>
    <col min="569" max="569" width="51.6640625" bestFit="1" customWidth="1"/>
    <col min="570" max="570" width="42.83203125" bestFit="1" customWidth="1"/>
    <col min="571" max="571" width="42.33203125" bestFit="1" customWidth="1"/>
    <col min="572" max="572" width="40.1640625" bestFit="1" customWidth="1"/>
    <col min="573" max="573" width="50.1640625" bestFit="1" customWidth="1"/>
    <col min="574" max="574" width="37.33203125" bestFit="1" customWidth="1"/>
    <col min="575" max="575" width="53.5" bestFit="1" customWidth="1"/>
    <col min="576" max="576" width="36.33203125" bestFit="1" customWidth="1"/>
    <col min="577" max="577" width="55.6640625" bestFit="1" customWidth="1"/>
    <col min="578" max="578" width="47.6640625" bestFit="1" customWidth="1"/>
    <col min="579" max="579" width="38.6640625" bestFit="1" customWidth="1"/>
    <col min="580" max="580" width="45.33203125" bestFit="1" customWidth="1"/>
    <col min="581" max="581" width="49.33203125" bestFit="1" customWidth="1"/>
    <col min="582" max="582" width="48.5" bestFit="1" customWidth="1"/>
    <col min="583" max="583" width="55.1640625" bestFit="1" customWidth="1"/>
    <col min="584" max="584" width="31.83203125" bestFit="1" customWidth="1"/>
    <col min="585" max="585" width="43.33203125" bestFit="1" customWidth="1"/>
    <col min="586" max="586" width="45" bestFit="1" customWidth="1"/>
    <col min="587" max="587" width="54.5" bestFit="1" customWidth="1"/>
    <col min="588" max="588" width="49.6640625" bestFit="1" customWidth="1"/>
    <col min="589" max="589" width="41.33203125" bestFit="1" customWidth="1"/>
    <col min="590" max="590" width="37.83203125" bestFit="1" customWidth="1"/>
    <col min="591" max="591" width="51.1640625" bestFit="1" customWidth="1"/>
    <col min="592" max="592" width="40.1640625" bestFit="1" customWidth="1"/>
    <col min="593" max="593" width="53.83203125" bestFit="1" customWidth="1"/>
    <col min="594" max="594" width="54.5" bestFit="1" customWidth="1"/>
    <col min="595" max="595" width="35.5" bestFit="1" customWidth="1"/>
    <col min="596" max="596" width="36.6640625" bestFit="1" customWidth="1"/>
    <col min="597" max="597" width="33.83203125" bestFit="1" customWidth="1"/>
    <col min="598" max="598" width="53" bestFit="1" customWidth="1"/>
    <col min="599" max="599" width="40.83203125" bestFit="1" customWidth="1"/>
    <col min="600" max="600" width="38.83203125" bestFit="1" customWidth="1"/>
    <col min="601" max="601" width="52.83203125" bestFit="1" customWidth="1"/>
    <col min="602" max="602" width="50" bestFit="1" customWidth="1"/>
    <col min="603" max="603" width="40.1640625" bestFit="1" customWidth="1"/>
    <col min="604" max="604" width="12.6640625" bestFit="1" customWidth="1"/>
    <col min="605" max="605" width="33" bestFit="1" customWidth="1"/>
    <col min="606" max="606" width="32" bestFit="1" customWidth="1"/>
    <col min="607" max="607" width="31.1640625" bestFit="1" customWidth="1"/>
    <col min="608" max="608" width="25.5" bestFit="1" customWidth="1"/>
    <col min="609" max="609" width="30.83203125" bestFit="1" customWidth="1"/>
    <col min="610" max="610" width="24.6640625" bestFit="1" customWidth="1"/>
    <col min="611" max="611" width="27.1640625" bestFit="1" customWidth="1"/>
    <col min="612" max="612" width="33.33203125" bestFit="1" customWidth="1"/>
    <col min="613" max="613" width="17.5" bestFit="1" customWidth="1"/>
    <col min="614" max="614" width="32.83203125" bestFit="1" customWidth="1"/>
    <col min="615" max="615" width="26" bestFit="1" customWidth="1"/>
    <col min="616" max="616" width="27.83203125" bestFit="1" customWidth="1"/>
    <col min="617" max="617" width="12.6640625" bestFit="1" customWidth="1"/>
    <col min="618" max="618" width="33" bestFit="1" customWidth="1"/>
    <col min="619" max="619" width="32" bestFit="1" customWidth="1"/>
    <col min="620" max="620" width="31.1640625" bestFit="1" customWidth="1"/>
    <col min="621" max="621" width="25.5" bestFit="1" customWidth="1"/>
    <col min="622" max="622" width="30.83203125" bestFit="1" customWidth="1"/>
    <col min="623" max="623" width="24.6640625" bestFit="1" customWidth="1"/>
    <col min="624" max="624" width="27.1640625" bestFit="1" customWidth="1"/>
    <col min="625" max="625" width="33.33203125" bestFit="1" customWidth="1"/>
    <col min="626" max="626" width="17.5" bestFit="1" customWidth="1"/>
    <col min="627" max="627" width="32.83203125" bestFit="1" customWidth="1"/>
    <col min="628" max="628" width="26" bestFit="1" customWidth="1"/>
    <col min="629" max="629" width="27.83203125" bestFit="1" customWidth="1"/>
    <col min="630" max="630" width="12.1640625" bestFit="1" customWidth="1"/>
    <col min="631" max="631" width="32.5" bestFit="1" customWidth="1"/>
    <col min="632" max="632" width="31.33203125" bestFit="1" customWidth="1"/>
    <col min="633" max="633" width="30.6640625" bestFit="1" customWidth="1"/>
    <col min="634" max="634" width="25" bestFit="1" customWidth="1"/>
    <col min="635" max="635" width="30.33203125" bestFit="1" customWidth="1"/>
    <col min="636" max="636" width="24.1640625" bestFit="1" customWidth="1"/>
    <col min="637" max="637" width="26.6640625" bestFit="1" customWidth="1"/>
    <col min="638" max="638" width="32.83203125" bestFit="1" customWidth="1"/>
    <col min="639" max="639" width="17" bestFit="1" customWidth="1"/>
    <col min="640" max="640" width="32.33203125" bestFit="1" customWidth="1"/>
    <col min="641" max="641" width="25.5" bestFit="1" customWidth="1"/>
    <col min="642" max="642" width="27.33203125" bestFit="1" customWidth="1"/>
    <col min="643" max="643" width="28.33203125" bestFit="1" customWidth="1"/>
    <col min="644" max="644" width="42.6640625" bestFit="1" customWidth="1"/>
    <col min="645" max="645" width="38" bestFit="1" customWidth="1"/>
    <col min="646" max="646" width="41" bestFit="1" customWidth="1"/>
    <col min="647" max="647" width="31.33203125" bestFit="1" customWidth="1"/>
    <col min="648" max="648" width="39.6640625" bestFit="1" customWidth="1"/>
    <col min="649" max="649" width="30.83203125" bestFit="1" customWidth="1"/>
    <col min="650" max="650" width="15.1640625" bestFit="1" customWidth="1"/>
    <col min="651" max="651" width="24.5" bestFit="1" customWidth="1"/>
    <col min="652" max="652" width="40.1640625" bestFit="1" customWidth="1"/>
    <col min="653" max="653" width="36.6640625" bestFit="1" customWidth="1"/>
    <col min="654" max="654" width="30.6640625" bestFit="1" customWidth="1"/>
    <col min="655" max="655" width="37.33203125" bestFit="1" customWidth="1"/>
    <col min="656" max="656" width="35.6640625" bestFit="1" customWidth="1"/>
    <col min="657" max="657" width="40.1640625" bestFit="1" customWidth="1"/>
    <col min="658" max="658" width="25" bestFit="1" customWidth="1"/>
    <col min="659" max="659" width="39.83203125" bestFit="1" customWidth="1"/>
    <col min="660" max="660" width="31.83203125" bestFit="1" customWidth="1"/>
    <col min="661" max="661" width="34.33203125" bestFit="1" customWidth="1"/>
    <col min="662" max="662" width="34" bestFit="1" customWidth="1"/>
    <col min="663" max="663" width="40.83203125" bestFit="1" customWidth="1"/>
    <col min="664" max="664" width="41.1640625" bestFit="1" customWidth="1"/>
    <col min="665" max="665" width="25" bestFit="1" customWidth="1"/>
    <col min="666" max="666" width="37.83203125" bestFit="1" customWidth="1"/>
    <col min="667" max="667" width="40.6640625" bestFit="1" customWidth="1"/>
    <col min="668" max="668" width="30" bestFit="1" customWidth="1"/>
    <col min="669" max="669" width="37.6640625" bestFit="1" customWidth="1"/>
    <col min="670" max="670" width="38.33203125" bestFit="1" customWidth="1"/>
    <col min="671" max="671" width="29.33203125" bestFit="1" customWidth="1"/>
    <col min="672" max="672" width="28.83203125" bestFit="1" customWidth="1"/>
    <col min="673" max="673" width="26.83203125" bestFit="1" customWidth="1"/>
    <col min="674" max="674" width="36.6640625" bestFit="1" customWidth="1"/>
    <col min="675" max="675" width="23.83203125" bestFit="1" customWidth="1"/>
    <col min="676" max="676" width="23" bestFit="1" customWidth="1"/>
    <col min="677" max="677" width="42.33203125" bestFit="1" customWidth="1"/>
    <col min="678" max="678" width="34.1640625" bestFit="1" customWidth="1"/>
    <col min="679" max="679" width="25.1640625" bestFit="1" customWidth="1"/>
    <col min="680" max="680" width="32" bestFit="1" customWidth="1"/>
    <col min="681" max="681" width="35.83203125" bestFit="1" customWidth="1"/>
    <col min="682" max="682" width="35" bestFit="1" customWidth="1"/>
    <col min="683" max="683" width="41.6640625" bestFit="1" customWidth="1"/>
    <col min="684" max="684" width="18.33203125" bestFit="1" customWidth="1"/>
    <col min="685" max="685" width="29.83203125" bestFit="1" customWidth="1"/>
    <col min="686" max="686" width="31.5" bestFit="1" customWidth="1"/>
    <col min="687" max="687" width="41" bestFit="1" customWidth="1"/>
    <col min="688" max="688" width="36.1640625" bestFit="1" customWidth="1"/>
    <col min="689" max="689" width="28" bestFit="1" customWidth="1"/>
    <col min="690" max="690" width="24.33203125" bestFit="1" customWidth="1"/>
    <col min="691" max="691" width="37.83203125" bestFit="1" customWidth="1"/>
    <col min="692" max="692" width="26.83203125" bestFit="1" customWidth="1"/>
    <col min="693" max="693" width="41" bestFit="1" customWidth="1"/>
    <col min="694" max="694" width="22.1640625" bestFit="1" customWidth="1"/>
    <col min="695" max="695" width="23.33203125" bestFit="1" customWidth="1"/>
    <col min="696" max="696" width="20.33203125" bestFit="1" customWidth="1"/>
    <col min="697" max="697" width="39.5" bestFit="1" customWidth="1"/>
    <col min="698" max="698" width="27.5" bestFit="1" customWidth="1"/>
    <col min="699" max="699" width="25.33203125" bestFit="1" customWidth="1"/>
    <col min="700" max="700" width="39.33203125" bestFit="1" customWidth="1"/>
    <col min="701" max="701" width="36.5" bestFit="1" customWidth="1"/>
    <col min="702" max="702" width="26.83203125" bestFit="1" customWidth="1"/>
    <col min="703" max="703" width="36.5" bestFit="1" customWidth="1"/>
    <col min="704" max="704" width="45.6640625" bestFit="1" customWidth="1"/>
    <col min="705" max="705" width="50.83203125" bestFit="1" customWidth="1"/>
    <col min="706" max="706" width="46.1640625" bestFit="1" customWidth="1"/>
    <col min="707" max="707" width="49.33203125" bestFit="1" customWidth="1"/>
    <col min="708" max="708" width="39.6640625" bestFit="1" customWidth="1"/>
    <col min="709" max="709" width="48" bestFit="1" customWidth="1"/>
    <col min="710" max="710" width="39.1640625" bestFit="1" customWidth="1"/>
    <col min="711" max="711" width="23.5" bestFit="1" customWidth="1"/>
    <col min="712" max="712" width="32.83203125" bestFit="1" customWidth="1"/>
    <col min="713" max="713" width="48.5" bestFit="1" customWidth="1"/>
    <col min="714" max="714" width="45" bestFit="1" customWidth="1"/>
    <col min="715" max="715" width="39" bestFit="1" customWidth="1"/>
    <col min="716" max="716" width="45.5" bestFit="1" customWidth="1"/>
    <col min="717" max="717" width="44" bestFit="1" customWidth="1"/>
    <col min="718" max="718" width="48.5" bestFit="1" customWidth="1"/>
    <col min="719" max="719" width="33.33203125" bestFit="1" customWidth="1"/>
    <col min="720" max="720" width="48.1640625" bestFit="1" customWidth="1"/>
    <col min="721" max="721" width="40" bestFit="1" customWidth="1"/>
    <col min="722" max="722" width="42.6640625" bestFit="1" customWidth="1"/>
    <col min="723" max="723" width="42.33203125" bestFit="1" customWidth="1"/>
    <col min="724" max="724" width="48.5" bestFit="1" customWidth="1"/>
    <col min="725" max="725" width="49.1640625" bestFit="1" customWidth="1"/>
    <col min="726" max="726" width="49.5" bestFit="1" customWidth="1"/>
    <col min="727" max="727" width="33.33203125" bestFit="1" customWidth="1"/>
    <col min="728" max="728" width="46" bestFit="1" customWidth="1"/>
    <col min="729" max="729" width="49" bestFit="1" customWidth="1"/>
    <col min="730" max="730" width="38.33203125" bestFit="1" customWidth="1"/>
    <col min="731" max="731" width="45.83203125" bestFit="1" customWidth="1"/>
    <col min="732" max="732" width="46.5" bestFit="1" customWidth="1"/>
    <col min="733" max="733" width="37.6640625" bestFit="1" customWidth="1"/>
    <col min="734" max="734" width="37.1640625" bestFit="1" customWidth="1"/>
    <col min="735" max="735" width="35" bestFit="1" customWidth="1"/>
    <col min="736" max="736" width="45" bestFit="1" customWidth="1"/>
    <col min="737" max="737" width="32.1640625" bestFit="1" customWidth="1"/>
    <col min="738" max="738" width="42.5" bestFit="1" customWidth="1"/>
    <col min="739" max="739" width="48.33203125" bestFit="1" customWidth="1"/>
    <col min="740" max="740" width="31.1640625" bestFit="1" customWidth="1"/>
    <col min="741" max="741" width="50.5" bestFit="1" customWidth="1"/>
    <col min="742" max="742" width="42.5" bestFit="1" customWidth="1"/>
    <col min="743" max="743" width="33.5" bestFit="1" customWidth="1"/>
    <col min="744" max="744" width="40.1640625" bestFit="1" customWidth="1"/>
    <col min="745" max="745" width="44.1640625" bestFit="1" customWidth="1"/>
    <col min="746" max="746" width="43.33203125" bestFit="1" customWidth="1"/>
    <col min="747" max="747" width="50" bestFit="1" customWidth="1"/>
    <col min="748" max="748" width="26.6640625" bestFit="1" customWidth="1"/>
    <col min="749" max="749" width="38.1640625" bestFit="1" customWidth="1"/>
    <col min="750" max="750" width="39.83203125" bestFit="1" customWidth="1"/>
    <col min="751" max="751" width="49.33203125" bestFit="1" customWidth="1"/>
    <col min="752" max="752" width="44.5" bestFit="1" customWidth="1"/>
    <col min="753" max="753" width="36.1640625" bestFit="1" customWidth="1"/>
    <col min="754" max="754" width="32.6640625" bestFit="1" customWidth="1"/>
    <col min="755" max="755" width="46" bestFit="1" customWidth="1"/>
    <col min="756" max="756" width="35" bestFit="1" customWidth="1"/>
    <col min="757" max="757" width="48.6640625" bestFit="1" customWidth="1"/>
    <col min="758" max="758" width="49.33203125" bestFit="1" customWidth="1"/>
    <col min="759" max="759" width="30.33203125" bestFit="1" customWidth="1"/>
    <col min="760" max="760" width="31.5" bestFit="1" customWidth="1"/>
    <col min="761" max="761" width="28.6640625" bestFit="1" customWidth="1"/>
    <col min="762" max="762" width="47.83203125" bestFit="1" customWidth="1"/>
    <col min="763" max="763" width="35.6640625" bestFit="1" customWidth="1"/>
    <col min="764" max="764" width="33.6640625" bestFit="1" customWidth="1"/>
    <col min="765" max="765" width="47.6640625" bestFit="1" customWidth="1"/>
    <col min="766" max="766" width="44.83203125" bestFit="1" customWidth="1"/>
    <col min="767" max="767" width="35" bestFit="1" customWidth="1"/>
    <col min="768" max="768" width="14" bestFit="1" customWidth="1"/>
    <col min="769" max="769" width="34.33203125" bestFit="1" customWidth="1"/>
    <col min="770" max="770" width="33.33203125" bestFit="1" customWidth="1"/>
    <col min="771" max="771" width="32.6640625" bestFit="1" customWidth="1"/>
    <col min="772" max="772" width="27" bestFit="1" customWidth="1"/>
    <col min="773" max="773" width="32.33203125" bestFit="1" customWidth="1"/>
    <col min="774" max="774" width="26" bestFit="1" customWidth="1"/>
    <col min="775" max="775" width="28.5" bestFit="1" customWidth="1"/>
    <col min="776" max="776" width="34.6640625" bestFit="1" customWidth="1"/>
    <col min="777" max="777" width="18.83203125" bestFit="1" customWidth="1"/>
    <col min="778" max="778" width="34.1640625" bestFit="1" customWidth="1"/>
    <col min="779" max="779" width="27.5" bestFit="1" customWidth="1"/>
    <col min="780" max="780" width="29.1640625" bestFit="1" customWidth="1"/>
    <col min="781" max="781" width="39.6640625" bestFit="1" customWidth="1"/>
    <col min="782" max="782" width="54" bestFit="1" customWidth="1"/>
    <col min="783" max="783" width="49.33203125" bestFit="1" customWidth="1"/>
    <col min="784" max="784" width="52.5" bestFit="1" customWidth="1"/>
    <col min="785" max="785" width="42.83203125" bestFit="1" customWidth="1"/>
    <col min="786" max="786" width="51" bestFit="1" customWidth="1"/>
    <col min="787" max="787" width="42.33203125" bestFit="1" customWidth="1"/>
    <col min="788" max="788" width="26.6640625" bestFit="1" customWidth="1"/>
    <col min="789" max="789" width="35.83203125" bestFit="1" customWidth="1"/>
    <col min="790" max="790" width="51.5" bestFit="1" customWidth="1"/>
    <col min="791" max="791" width="48.1640625" bestFit="1" customWidth="1"/>
    <col min="792" max="792" width="42.1640625" bestFit="1" customWidth="1"/>
    <col min="793" max="793" width="48.6640625" bestFit="1" customWidth="1"/>
    <col min="794" max="794" width="47" bestFit="1" customWidth="1"/>
    <col min="795" max="795" width="51.5" bestFit="1" customWidth="1"/>
    <col min="796" max="796" width="36.33203125" bestFit="1" customWidth="1"/>
    <col min="797" max="797" width="51.1640625" bestFit="1" customWidth="1"/>
    <col min="798" max="798" width="43.1640625" bestFit="1" customWidth="1"/>
    <col min="799" max="799" width="45.6640625" bestFit="1" customWidth="1"/>
    <col min="800" max="800" width="45.33203125" bestFit="1" customWidth="1"/>
    <col min="801" max="801" width="51.5" bestFit="1" customWidth="1"/>
    <col min="802" max="802" width="52.1640625" bestFit="1" customWidth="1"/>
    <col min="803" max="803" width="52.6640625" bestFit="1" customWidth="1"/>
    <col min="804" max="804" width="36.33203125" bestFit="1" customWidth="1"/>
    <col min="805" max="805" width="49.1640625" bestFit="1" customWidth="1"/>
    <col min="806" max="806" width="52" bestFit="1" customWidth="1"/>
    <col min="807" max="807" width="41.33203125" bestFit="1" customWidth="1"/>
    <col min="808" max="808" width="49" bestFit="1" customWidth="1"/>
    <col min="809" max="809" width="49.6640625" bestFit="1" customWidth="1"/>
    <col min="810" max="810" width="40.6640625" bestFit="1" customWidth="1"/>
    <col min="811" max="811" width="40.1640625" bestFit="1" customWidth="1"/>
    <col min="812" max="812" width="38.1640625" bestFit="1" customWidth="1"/>
    <col min="813" max="813" width="48.1640625" bestFit="1" customWidth="1"/>
    <col min="814" max="814" width="35.1640625" bestFit="1" customWidth="1"/>
    <col min="815" max="815" width="34.33203125" bestFit="1" customWidth="1"/>
    <col min="816" max="816" width="53.6640625" bestFit="1" customWidth="1"/>
    <col min="817" max="817" width="45.5" bestFit="1" customWidth="1"/>
    <col min="818" max="818" width="36.5" bestFit="1" customWidth="1"/>
    <col min="819" max="819" width="43.33203125" bestFit="1" customWidth="1"/>
    <col min="820" max="820" width="47.33203125" bestFit="1" customWidth="1"/>
    <col min="821" max="821" width="46.33203125" bestFit="1" customWidth="1"/>
    <col min="822" max="822" width="53.1640625" bestFit="1" customWidth="1"/>
    <col min="823" max="823" width="29.6640625" bestFit="1" customWidth="1"/>
    <col min="824" max="824" width="41.1640625" bestFit="1" customWidth="1"/>
    <col min="825" max="825" width="43" bestFit="1" customWidth="1"/>
    <col min="826" max="826" width="52.5" bestFit="1" customWidth="1"/>
    <col min="827" max="827" width="47.6640625" bestFit="1" customWidth="1"/>
    <col min="828" max="828" width="39.33203125" bestFit="1" customWidth="1"/>
    <col min="829" max="829" width="35.6640625" bestFit="1" customWidth="1"/>
    <col min="830" max="830" width="49.1640625" bestFit="1" customWidth="1"/>
    <col min="831" max="831" width="38.1640625" bestFit="1" customWidth="1"/>
    <col min="832" max="832" width="46" bestFit="1" customWidth="1"/>
    <col min="833" max="833" width="51.6640625" bestFit="1" customWidth="1"/>
    <col min="834" max="834" width="52.5" bestFit="1" customWidth="1"/>
    <col min="835" max="835" width="33.5" bestFit="1" customWidth="1"/>
    <col min="836" max="836" width="34.6640625" bestFit="1" customWidth="1"/>
    <col min="837" max="837" width="31.83203125" bestFit="1" customWidth="1"/>
    <col min="838" max="838" width="50.83203125" bestFit="1" customWidth="1"/>
    <col min="839" max="839" width="38.83203125" bestFit="1" customWidth="1"/>
    <col min="840" max="840" width="36.6640625" bestFit="1" customWidth="1"/>
    <col min="841" max="841" width="50.6640625" bestFit="1" customWidth="1"/>
    <col min="842" max="842" width="48" bestFit="1" customWidth="1"/>
    <col min="843" max="843" width="38.1640625" bestFit="1" customWidth="1"/>
    <col min="844" max="844" width="21.5" bestFit="1" customWidth="1"/>
    <col min="845" max="845" width="41.6640625" bestFit="1" customWidth="1"/>
    <col min="846" max="846" width="40.6640625" bestFit="1" customWidth="1"/>
    <col min="847" max="847" width="40" bestFit="1" customWidth="1"/>
    <col min="848" max="848" width="34.33203125" bestFit="1" customWidth="1"/>
    <col min="849" max="849" width="39.6640625" bestFit="1" customWidth="1"/>
    <col min="850" max="850" width="33.5" bestFit="1" customWidth="1"/>
    <col min="851" max="851" width="35.83203125" bestFit="1" customWidth="1"/>
    <col min="852" max="852" width="42.1640625" bestFit="1" customWidth="1"/>
    <col min="853" max="853" width="26.1640625" bestFit="1" customWidth="1"/>
    <col min="854" max="854" width="41.5" bestFit="1" customWidth="1"/>
    <col min="855" max="855" width="34.83203125" bestFit="1" customWidth="1"/>
    <col min="856" max="856" width="36.5" bestFit="1" customWidth="1"/>
    <col min="857" max="857" width="6.1640625" bestFit="1" customWidth="1"/>
    <col min="858" max="858" width="26.1640625" bestFit="1" customWidth="1"/>
    <col min="859" max="859" width="25.1640625" bestFit="1" customWidth="1"/>
    <col min="860" max="860" width="24.5" bestFit="1" customWidth="1"/>
    <col min="861" max="861" width="18.83203125" bestFit="1" customWidth="1"/>
    <col min="862" max="862" width="24.1640625" bestFit="1" customWidth="1"/>
    <col min="863" max="863" width="18" bestFit="1" customWidth="1"/>
    <col min="864" max="864" width="20.33203125" bestFit="1" customWidth="1"/>
    <col min="865" max="865" width="26.6640625" bestFit="1" customWidth="1"/>
    <col min="867" max="867" width="26" bestFit="1" customWidth="1"/>
    <col min="868" max="868" width="19.33203125" bestFit="1" customWidth="1"/>
    <col min="869" max="869" width="21" bestFit="1" customWidth="1"/>
    <col min="870" max="870" width="40.1640625" bestFit="1" customWidth="1"/>
    <col min="871" max="871" width="49.33203125" bestFit="1" customWidth="1"/>
    <col min="872" max="872" width="54.5" bestFit="1" customWidth="1"/>
    <col min="873" max="873" width="49.83203125" bestFit="1" customWidth="1"/>
    <col min="874" max="874" width="43.33203125" bestFit="1" customWidth="1"/>
    <col min="875" max="875" width="51.5" bestFit="1" customWidth="1"/>
    <col min="876" max="876" width="42.83203125" bestFit="1" customWidth="1"/>
    <col min="877" max="877" width="27.1640625" bestFit="1" customWidth="1"/>
    <col min="878" max="878" width="36.33203125" bestFit="1" customWidth="1"/>
    <col min="879" max="879" width="52" bestFit="1" customWidth="1"/>
    <col min="880" max="880" width="48.6640625" bestFit="1" customWidth="1"/>
    <col min="881" max="881" width="42.6640625" bestFit="1" customWidth="1"/>
    <col min="882" max="882" width="49.1640625" bestFit="1" customWidth="1"/>
    <col min="883" max="883" width="47.6640625" bestFit="1" customWidth="1"/>
    <col min="884" max="884" width="52" bestFit="1" customWidth="1"/>
    <col min="885" max="885" width="37" bestFit="1" customWidth="1"/>
    <col min="886" max="886" width="51.6640625" bestFit="1" customWidth="1"/>
    <col min="887" max="887" width="43.6640625" bestFit="1" customWidth="1"/>
    <col min="888" max="888" width="46.1640625" bestFit="1" customWidth="1"/>
    <col min="889" max="889" width="45.83203125" bestFit="1" customWidth="1"/>
    <col min="890" max="890" width="52" bestFit="1" customWidth="1"/>
    <col min="891" max="891" width="52.83203125" bestFit="1" customWidth="1"/>
    <col min="892" max="892" width="53.1640625" bestFit="1" customWidth="1"/>
    <col min="893" max="893" width="37" bestFit="1" customWidth="1"/>
    <col min="894" max="894" width="49.6640625" bestFit="1" customWidth="1"/>
    <col min="895" max="895" width="52.6640625" bestFit="1" customWidth="1"/>
    <col min="896" max="896" width="41.83203125" bestFit="1" customWidth="1"/>
    <col min="897" max="897" width="49.5" bestFit="1" customWidth="1"/>
    <col min="898" max="898" width="50.1640625" bestFit="1" customWidth="1"/>
    <col min="899" max="899" width="41.1640625" bestFit="1" customWidth="1"/>
    <col min="900" max="900" width="40.6640625" bestFit="1" customWidth="1"/>
    <col min="901" max="901" width="38.6640625" bestFit="1" customWidth="1"/>
    <col min="902" max="902" width="48.6640625" bestFit="1" customWidth="1"/>
    <col min="903" max="903" width="35.6640625" bestFit="1" customWidth="1"/>
    <col min="904" max="904" width="46" bestFit="1" customWidth="1"/>
    <col min="905" max="905" width="51.83203125" bestFit="1" customWidth="1"/>
    <col min="906" max="906" width="34.83203125" bestFit="1" customWidth="1"/>
    <col min="907" max="907" width="54.1640625" bestFit="1" customWidth="1"/>
    <col min="908" max="908" width="46" bestFit="1" customWidth="1"/>
    <col min="909" max="909" width="37.1640625" bestFit="1" customWidth="1"/>
    <col min="910" max="910" width="43.83203125" bestFit="1" customWidth="1"/>
    <col min="911" max="911" width="47.83203125" bestFit="1" customWidth="1"/>
    <col min="912" max="912" width="46.83203125" bestFit="1" customWidth="1"/>
    <col min="913" max="913" width="53.6640625" bestFit="1" customWidth="1"/>
    <col min="914" max="914" width="30.1640625" bestFit="1" customWidth="1"/>
    <col min="915" max="915" width="41.6640625" bestFit="1" customWidth="1"/>
    <col min="916" max="916" width="43.5" bestFit="1" customWidth="1"/>
    <col min="917" max="917" width="53" bestFit="1" customWidth="1"/>
    <col min="918" max="918" width="48.1640625" bestFit="1" customWidth="1"/>
    <col min="919" max="919" width="39.83203125" bestFit="1" customWidth="1"/>
    <col min="920" max="920" width="36.1640625" bestFit="1" customWidth="1"/>
    <col min="921" max="921" width="49.6640625" bestFit="1" customWidth="1"/>
    <col min="922" max="922" width="38.6640625" bestFit="1" customWidth="1"/>
    <col min="923" max="923" width="46.5" bestFit="1" customWidth="1"/>
    <col min="924" max="924" width="52.1640625" bestFit="1" customWidth="1"/>
    <col min="925" max="925" width="53" bestFit="1" customWidth="1"/>
    <col min="926" max="926" width="34" bestFit="1" customWidth="1"/>
    <col min="927" max="927" width="35.1640625" bestFit="1" customWidth="1"/>
    <col min="928" max="928" width="32.33203125" bestFit="1" customWidth="1"/>
    <col min="929" max="929" width="51.33203125" bestFit="1" customWidth="1"/>
    <col min="930" max="930" width="39.33203125" bestFit="1" customWidth="1"/>
    <col min="931" max="931" width="37.33203125" bestFit="1" customWidth="1"/>
    <col min="932" max="932" width="51.1640625" bestFit="1" customWidth="1"/>
    <col min="933" max="933" width="48.5" bestFit="1" customWidth="1"/>
    <col min="934" max="934" width="38.6640625" bestFit="1" customWidth="1"/>
    <col min="935" max="935" width="7.33203125" bestFit="1" customWidth="1"/>
    <col min="936" max="936" width="27.5" bestFit="1" customWidth="1"/>
    <col min="937" max="937" width="26.33203125" bestFit="1" customWidth="1"/>
    <col min="938" max="938" width="25.6640625" bestFit="1" customWidth="1"/>
    <col min="939" max="939" width="20" bestFit="1" customWidth="1"/>
    <col min="940" max="940" width="25.33203125" bestFit="1" customWidth="1"/>
    <col min="941" max="941" width="19.1640625" bestFit="1" customWidth="1"/>
    <col min="942" max="942" width="21.6640625" bestFit="1" customWidth="1"/>
    <col min="943" max="943" width="27.83203125" bestFit="1" customWidth="1"/>
    <col min="944" max="944" width="12" bestFit="1" customWidth="1"/>
    <col min="945" max="945" width="27.33203125" bestFit="1" customWidth="1"/>
    <col min="946" max="946" width="20.5" bestFit="1" customWidth="1"/>
    <col min="947" max="947" width="22.33203125" bestFit="1" customWidth="1"/>
    <col min="948" max="948" width="28.5" bestFit="1" customWidth="1"/>
    <col min="949" max="949" width="42.83203125" bestFit="1" customWidth="1"/>
    <col min="950" max="950" width="38.1640625" bestFit="1" customWidth="1"/>
    <col min="951" max="951" width="41.1640625" bestFit="1" customWidth="1"/>
    <col min="952" max="952" width="31.5" bestFit="1" customWidth="1"/>
    <col min="953" max="953" width="39.83203125" bestFit="1" customWidth="1"/>
    <col min="954" max="954" width="31" bestFit="1" customWidth="1"/>
    <col min="955" max="955" width="15.33203125" bestFit="1" customWidth="1"/>
    <col min="956" max="956" width="24.6640625" bestFit="1" customWidth="1"/>
    <col min="957" max="957" width="40.33203125" bestFit="1" customWidth="1"/>
    <col min="958" max="958" width="37" bestFit="1" customWidth="1"/>
    <col min="959" max="959" width="30.83203125" bestFit="1" customWidth="1"/>
    <col min="960" max="960" width="37.5" bestFit="1" customWidth="1"/>
    <col min="961" max="961" width="35.83203125" bestFit="1" customWidth="1"/>
    <col min="962" max="962" width="40.33203125" bestFit="1" customWidth="1"/>
    <col min="963" max="963" width="25.1640625" bestFit="1" customWidth="1"/>
    <col min="964" max="964" width="40" bestFit="1" customWidth="1"/>
    <col min="965" max="965" width="32" bestFit="1" customWidth="1"/>
    <col min="966" max="966" width="34.5" bestFit="1" customWidth="1"/>
    <col min="967" max="967" width="34.1640625" bestFit="1" customWidth="1"/>
    <col min="968" max="968" width="40.33203125" bestFit="1" customWidth="1"/>
    <col min="969" max="969" width="41" bestFit="1" customWidth="1"/>
    <col min="970" max="970" width="41.33203125" bestFit="1" customWidth="1"/>
    <col min="971" max="971" width="25.1640625" bestFit="1" customWidth="1"/>
    <col min="972" max="972" width="38" bestFit="1" customWidth="1"/>
    <col min="973" max="973" width="40.83203125" bestFit="1" customWidth="1"/>
    <col min="974" max="974" width="30.1640625" bestFit="1" customWidth="1"/>
    <col min="975" max="975" width="37.83203125" bestFit="1" customWidth="1"/>
    <col min="976" max="976" width="38.5" bestFit="1" customWidth="1"/>
    <col min="977" max="977" width="29.5" bestFit="1" customWidth="1"/>
    <col min="978" max="978" width="29" bestFit="1" customWidth="1"/>
    <col min="979" max="979" width="27" bestFit="1" customWidth="1"/>
    <col min="980" max="980" width="37" bestFit="1" customWidth="1"/>
    <col min="981" max="981" width="24" bestFit="1" customWidth="1"/>
    <col min="982" max="982" width="23.1640625" bestFit="1" customWidth="1"/>
    <col min="983" max="983" width="42.5" bestFit="1" customWidth="1"/>
    <col min="984" max="984" width="34.33203125" bestFit="1" customWidth="1"/>
    <col min="985" max="985" width="25.33203125" bestFit="1" customWidth="1"/>
    <col min="986" max="986" width="32.1640625" bestFit="1" customWidth="1"/>
    <col min="987" max="987" width="36" bestFit="1" customWidth="1"/>
    <col min="988" max="988" width="35.1640625" bestFit="1" customWidth="1"/>
    <col min="989" max="989" width="41.83203125" bestFit="1" customWidth="1"/>
    <col min="990" max="990" width="18.5" bestFit="1" customWidth="1"/>
    <col min="991" max="991" width="30" bestFit="1" customWidth="1"/>
    <col min="992" max="992" width="31.83203125" bestFit="1" customWidth="1"/>
    <col min="993" max="993" width="41.1640625" bestFit="1" customWidth="1"/>
    <col min="994" max="994" width="36.33203125" bestFit="1" customWidth="1"/>
    <col min="995" max="995" width="28.1640625" bestFit="1" customWidth="1"/>
    <col min="996" max="996" width="24.5" bestFit="1" customWidth="1"/>
    <col min="997" max="997" width="38" bestFit="1" customWidth="1"/>
    <col min="998" max="998" width="27" bestFit="1" customWidth="1"/>
    <col min="999" max="999" width="40.5" bestFit="1" customWidth="1"/>
    <col min="1000" max="1000" width="41.1640625" bestFit="1" customWidth="1"/>
    <col min="1001" max="1001" width="22.33203125" bestFit="1" customWidth="1"/>
    <col min="1002" max="1002" width="23.5" bestFit="1" customWidth="1"/>
    <col min="1003" max="1003" width="20.5" bestFit="1" customWidth="1"/>
    <col min="1004" max="1004" width="39.6640625" bestFit="1" customWidth="1"/>
    <col min="1005" max="1005" width="27.6640625" bestFit="1" customWidth="1"/>
    <col min="1006" max="1006" width="25.5" bestFit="1" customWidth="1"/>
    <col min="1007" max="1007" width="39.5" bestFit="1" customWidth="1"/>
    <col min="1008" max="1008" width="36.6640625" bestFit="1" customWidth="1"/>
    <col min="1009" max="1009" width="27" bestFit="1" customWidth="1"/>
    <col min="1010" max="1010" width="12.1640625" bestFit="1" customWidth="1"/>
    <col min="1011" max="1011" width="32.5" bestFit="1" customWidth="1"/>
    <col min="1012" max="1012" width="31.33203125" bestFit="1" customWidth="1"/>
    <col min="1013" max="1013" width="30.6640625" bestFit="1" customWidth="1"/>
    <col min="1014" max="1014" width="25" bestFit="1" customWidth="1"/>
    <col min="1015" max="1015" width="30.33203125" bestFit="1" customWidth="1"/>
    <col min="1016" max="1016" width="24.1640625" bestFit="1" customWidth="1"/>
    <col min="1017" max="1017" width="26.6640625" bestFit="1" customWidth="1"/>
    <col min="1018" max="1018" width="32.83203125" bestFit="1" customWidth="1"/>
    <col min="1019" max="1019" width="17" bestFit="1" customWidth="1"/>
    <col min="1020" max="1020" width="32.33203125" bestFit="1" customWidth="1"/>
    <col min="1021" max="1021" width="25.5" bestFit="1" customWidth="1"/>
    <col min="1022" max="1022" width="27.33203125" bestFit="1" customWidth="1"/>
    <col min="1023" max="1023" width="36.1640625" bestFit="1" customWidth="1"/>
    <col min="1024" max="1024" width="50.5" bestFit="1" customWidth="1"/>
    <col min="1025" max="1025" width="45.83203125" bestFit="1" customWidth="1"/>
    <col min="1026" max="1026" width="49" bestFit="1" customWidth="1"/>
    <col min="1027" max="1027" width="39.33203125" bestFit="1" customWidth="1"/>
    <col min="1028" max="1028" width="47.6640625" bestFit="1" customWidth="1"/>
    <col min="1029" max="1029" width="38.83203125" bestFit="1" customWidth="1"/>
    <col min="1030" max="1030" width="23.1640625" bestFit="1" customWidth="1"/>
    <col min="1031" max="1031" width="32.5" bestFit="1" customWidth="1"/>
    <col min="1032" max="1032" width="48.1640625" bestFit="1" customWidth="1"/>
    <col min="1033" max="1033" width="44.6640625" bestFit="1" customWidth="1"/>
    <col min="1034" max="1034" width="38.6640625" bestFit="1" customWidth="1"/>
    <col min="1035" max="1035" width="45.1640625" bestFit="1" customWidth="1"/>
    <col min="1036" max="1036" width="43.6640625" bestFit="1" customWidth="1"/>
    <col min="1037" max="1037" width="48.1640625" bestFit="1" customWidth="1"/>
    <col min="1038" max="1038" width="33" bestFit="1" customWidth="1"/>
    <col min="1039" max="1039" width="47.83203125" bestFit="1" customWidth="1"/>
    <col min="1040" max="1040" width="39.6640625" bestFit="1" customWidth="1"/>
    <col min="1041" max="1041" width="42.33203125" bestFit="1" customWidth="1"/>
    <col min="1042" max="1042" width="41.83203125" bestFit="1" customWidth="1"/>
    <col min="1043" max="1043" width="48.1640625" bestFit="1" customWidth="1"/>
    <col min="1044" max="1044" width="48.83203125" bestFit="1" customWidth="1"/>
    <col min="1045" max="1045" width="49.1640625" bestFit="1" customWidth="1"/>
    <col min="1046" max="1046" width="45.6640625" bestFit="1" customWidth="1"/>
    <col min="1047" max="1047" width="48.6640625" bestFit="1" customWidth="1"/>
    <col min="1048" max="1048" width="38" bestFit="1" customWidth="1"/>
    <col min="1049" max="1049" width="45.5" bestFit="1" customWidth="1"/>
    <col min="1050" max="1050" width="46.1640625" bestFit="1" customWidth="1"/>
    <col min="1051" max="1051" width="37.33203125" bestFit="1" customWidth="1"/>
    <col min="1052" max="1052" width="36.6640625" bestFit="1" customWidth="1"/>
    <col min="1053" max="1053" width="34.6640625" bestFit="1" customWidth="1"/>
    <col min="1054" max="1054" width="44.6640625" bestFit="1" customWidth="1"/>
    <col min="1055" max="1055" width="31.83203125" bestFit="1" customWidth="1"/>
    <col min="1056" max="1056" width="30.83203125" bestFit="1" customWidth="1"/>
    <col min="1057" max="1057" width="50.1640625" bestFit="1" customWidth="1"/>
    <col min="1058" max="1058" width="42.1640625" bestFit="1" customWidth="1"/>
    <col min="1059" max="1059" width="33.1640625" bestFit="1" customWidth="1"/>
    <col min="1060" max="1060" width="39.83203125" bestFit="1" customWidth="1"/>
    <col min="1061" max="1061" width="43.83203125" bestFit="1" customWidth="1"/>
    <col min="1062" max="1062" width="43" bestFit="1" customWidth="1"/>
    <col min="1063" max="1063" width="49.6640625" bestFit="1" customWidth="1"/>
    <col min="1064" max="1064" width="26.1640625" bestFit="1" customWidth="1"/>
    <col min="1065" max="1065" width="37.83203125" bestFit="1" customWidth="1"/>
    <col min="1066" max="1066" width="39.5" bestFit="1" customWidth="1"/>
    <col min="1067" max="1067" width="49" bestFit="1" customWidth="1"/>
    <col min="1068" max="1068" width="44.1640625" bestFit="1" customWidth="1"/>
    <col min="1069" max="1069" width="35.83203125" bestFit="1" customWidth="1"/>
    <col min="1070" max="1070" width="32.33203125" bestFit="1" customWidth="1"/>
    <col min="1071" max="1071" width="45.6640625" bestFit="1" customWidth="1"/>
    <col min="1072" max="1072" width="34.6640625" bestFit="1" customWidth="1"/>
    <col min="1073" max="1073" width="48.33203125" bestFit="1" customWidth="1"/>
    <col min="1074" max="1074" width="49" bestFit="1" customWidth="1"/>
    <col min="1075" max="1075" width="30" bestFit="1" customWidth="1"/>
    <col min="1076" max="1076" width="31.1640625" bestFit="1" customWidth="1"/>
    <col min="1077" max="1077" width="28.33203125" bestFit="1" customWidth="1"/>
    <col min="1078" max="1078" width="47.5" bestFit="1" customWidth="1"/>
    <col min="1079" max="1079" width="35.33203125" bestFit="1" customWidth="1"/>
    <col min="1080" max="1080" width="33.33203125" bestFit="1" customWidth="1"/>
    <col min="1081" max="1081" width="47.33203125" bestFit="1" customWidth="1"/>
    <col min="1082" max="1082" width="44.5" bestFit="1" customWidth="1"/>
    <col min="1083" max="1083" width="34.6640625" bestFit="1" customWidth="1"/>
    <col min="1084" max="1084" width="12.1640625" bestFit="1" customWidth="1"/>
    <col min="1085" max="1085" width="32.5" bestFit="1" customWidth="1"/>
    <col min="1086" max="1086" width="31.33203125" bestFit="1" customWidth="1"/>
    <col min="1087" max="1087" width="30.6640625" bestFit="1" customWidth="1"/>
    <col min="1088" max="1088" width="25" bestFit="1" customWidth="1"/>
    <col min="1089" max="1089" width="30.33203125" bestFit="1" customWidth="1"/>
    <col min="1090" max="1090" width="24.1640625" bestFit="1" customWidth="1"/>
    <col min="1091" max="1091" width="26.6640625" bestFit="1" customWidth="1"/>
    <col min="1092" max="1092" width="32.83203125" bestFit="1" customWidth="1"/>
    <col min="1093" max="1093" width="17" bestFit="1" customWidth="1"/>
    <col min="1094" max="1094" width="32.33203125" bestFit="1" customWidth="1"/>
    <col min="1095" max="1095" width="25.5" bestFit="1" customWidth="1"/>
    <col min="1096" max="1096" width="27.33203125" bestFit="1" customWidth="1"/>
    <col min="1097" max="1097" width="30.1640625" bestFit="1" customWidth="1"/>
    <col min="1098" max="1098" width="39.33203125" bestFit="1" customWidth="1"/>
    <col min="1099" max="1099" width="44.5" bestFit="1" customWidth="1"/>
    <col min="1100" max="1100" width="39.83203125" bestFit="1" customWidth="1"/>
    <col min="1101" max="1101" width="43" bestFit="1" customWidth="1"/>
    <col min="1102" max="1102" width="33.33203125" bestFit="1" customWidth="1"/>
    <col min="1103" max="1103" width="41.5" bestFit="1" customWidth="1"/>
    <col min="1104" max="1104" width="32.83203125" bestFit="1" customWidth="1"/>
    <col min="1105" max="1105" width="17.1640625" bestFit="1" customWidth="1"/>
    <col min="1106" max="1106" width="26.33203125" bestFit="1" customWidth="1"/>
    <col min="1107" max="1107" width="42.1640625" bestFit="1" customWidth="1"/>
    <col min="1108" max="1108" width="38.6640625" bestFit="1" customWidth="1"/>
    <col min="1109" max="1109" width="32.6640625" bestFit="1" customWidth="1"/>
    <col min="1110" max="1110" width="39.1640625" bestFit="1" customWidth="1"/>
    <col min="1111" max="1111" width="32.5" bestFit="1" customWidth="1"/>
    <col min="1112" max="1112" width="37.6640625" bestFit="1" customWidth="1"/>
    <col min="1113" max="1113" width="42.1640625" bestFit="1" customWidth="1"/>
    <col min="1114" max="1114" width="27" bestFit="1" customWidth="1"/>
    <col min="1115" max="1115" width="41.6640625" bestFit="1" customWidth="1"/>
    <col min="1116" max="1116" width="33.6640625" bestFit="1" customWidth="1"/>
    <col min="1117" max="1117" width="36.1640625" bestFit="1" customWidth="1"/>
    <col min="1118" max="1118" width="35.83203125" bestFit="1" customWidth="1"/>
    <col min="1119" max="1119" width="42.1640625" bestFit="1" customWidth="1"/>
    <col min="1120" max="1120" width="42.83203125" bestFit="1" customWidth="1"/>
    <col min="1121" max="1121" width="43.1640625" bestFit="1" customWidth="1"/>
    <col min="1122" max="1122" width="27" bestFit="1" customWidth="1"/>
    <col min="1123" max="1123" width="39.6640625" bestFit="1" customWidth="1"/>
    <col min="1124" max="1124" width="42.6640625" bestFit="1" customWidth="1"/>
    <col min="1125" max="1125" width="32" bestFit="1" customWidth="1"/>
    <col min="1126" max="1126" width="39.5" bestFit="1" customWidth="1"/>
    <col min="1127" max="1127" width="40.1640625" bestFit="1" customWidth="1"/>
    <col min="1128" max="1128" width="31.1640625" bestFit="1" customWidth="1"/>
    <col min="1129" max="1129" width="30.6640625" bestFit="1" customWidth="1"/>
    <col min="1130" max="1130" width="28.6640625" bestFit="1" customWidth="1"/>
    <col min="1131" max="1131" width="38.6640625" bestFit="1" customWidth="1"/>
    <col min="1132" max="1132" width="25.6640625" bestFit="1" customWidth="1"/>
    <col min="1133" max="1133" width="36" bestFit="1" customWidth="1"/>
    <col min="1134" max="1134" width="41.83203125" bestFit="1" customWidth="1"/>
    <col min="1135" max="1135" width="24.83203125" bestFit="1" customWidth="1"/>
    <col min="1136" max="1136" width="44.1640625" bestFit="1" customWidth="1"/>
    <col min="1137" max="1137" width="36" bestFit="1" customWidth="1"/>
    <col min="1138" max="1138" width="27.1640625" bestFit="1" customWidth="1"/>
    <col min="1139" max="1139" width="33.83203125" bestFit="1" customWidth="1"/>
    <col min="1140" max="1140" width="37.83203125" bestFit="1" customWidth="1"/>
    <col min="1141" max="1141" width="37" bestFit="1" customWidth="1"/>
    <col min="1142" max="1142" width="43.6640625" bestFit="1" customWidth="1"/>
    <col min="1143" max="1143" width="20.1640625" bestFit="1" customWidth="1"/>
    <col min="1144" max="1144" width="31.83203125" bestFit="1" customWidth="1"/>
    <col min="1145" max="1145" width="33.5" bestFit="1" customWidth="1"/>
    <col min="1146" max="1146" width="43" bestFit="1" customWidth="1"/>
    <col min="1147" max="1147" width="38.1640625" bestFit="1" customWidth="1"/>
    <col min="1148" max="1148" width="29.83203125" bestFit="1" customWidth="1"/>
    <col min="1149" max="1149" width="26.1640625" bestFit="1" customWidth="1"/>
    <col min="1150" max="1150" width="39.6640625" bestFit="1" customWidth="1"/>
    <col min="1151" max="1151" width="28.6640625" bestFit="1" customWidth="1"/>
    <col min="1152" max="1152" width="36.5" bestFit="1" customWidth="1"/>
    <col min="1153" max="1153" width="42.33203125" bestFit="1" customWidth="1"/>
    <col min="1154" max="1154" width="43" bestFit="1" customWidth="1"/>
    <col min="1155" max="1155" width="24" bestFit="1" customWidth="1"/>
    <col min="1156" max="1156" width="25.1640625" bestFit="1" customWidth="1"/>
    <col min="1157" max="1157" width="22.33203125" bestFit="1" customWidth="1"/>
    <col min="1158" max="1158" width="41.33203125" bestFit="1" customWidth="1"/>
    <col min="1159" max="1159" width="29.33203125" bestFit="1" customWidth="1"/>
    <col min="1160" max="1160" width="27.33203125" bestFit="1" customWidth="1"/>
    <col min="1161" max="1161" width="41.1640625" bestFit="1" customWidth="1"/>
    <col min="1162" max="1162" width="38.5" bestFit="1" customWidth="1"/>
    <col min="1163" max="1163" width="28.6640625" bestFit="1" customWidth="1"/>
    <col min="1164" max="1164" width="14.1640625" bestFit="1" customWidth="1"/>
    <col min="1165" max="1165" width="34.5" bestFit="1" customWidth="1"/>
    <col min="1166" max="1166" width="33.5" bestFit="1" customWidth="1"/>
    <col min="1167" max="1167" width="32.83203125" bestFit="1" customWidth="1"/>
    <col min="1168" max="1168" width="27.1640625" bestFit="1" customWidth="1"/>
    <col min="1169" max="1169" width="32.5" bestFit="1" customWidth="1"/>
    <col min="1170" max="1170" width="26.1640625" bestFit="1" customWidth="1"/>
    <col min="1171" max="1171" width="28.6640625" bestFit="1" customWidth="1"/>
    <col min="1172" max="1172" width="34.83203125" bestFit="1" customWidth="1"/>
    <col min="1173" max="1173" width="19" bestFit="1" customWidth="1"/>
    <col min="1174" max="1174" width="34.33203125" bestFit="1" customWidth="1"/>
    <col min="1175" max="1175" width="27.6640625" bestFit="1" customWidth="1"/>
    <col min="1176" max="1177" width="29.33203125" bestFit="1" customWidth="1"/>
    <col min="1178" max="1178" width="43.6640625" bestFit="1" customWidth="1"/>
    <col min="1179" max="1179" width="32.5" bestFit="1" customWidth="1"/>
    <col min="1180" max="1180" width="40.6640625" bestFit="1" customWidth="1"/>
    <col min="1181" max="1181" width="32" bestFit="1" customWidth="1"/>
    <col min="1182" max="1182" width="16.33203125" bestFit="1" customWidth="1"/>
    <col min="1183" max="1183" width="25.5" bestFit="1" customWidth="1"/>
    <col min="1184" max="1184" width="41.1640625" bestFit="1" customWidth="1"/>
    <col min="1185" max="1185" width="37.83203125" bestFit="1" customWidth="1"/>
    <col min="1186" max="1186" width="31.83203125" bestFit="1" customWidth="1"/>
    <col min="1187" max="1187" width="38.33203125" bestFit="1" customWidth="1"/>
    <col min="1188" max="1188" width="36.6640625" bestFit="1" customWidth="1"/>
    <col min="1189" max="1189" width="41.1640625" bestFit="1" customWidth="1"/>
    <col min="1190" max="1190" width="26" bestFit="1" customWidth="1"/>
    <col min="1191" max="1191" width="40.83203125" bestFit="1" customWidth="1"/>
    <col min="1192" max="1192" width="32.83203125" bestFit="1" customWidth="1"/>
    <col min="1193" max="1193" width="35.33203125" bestFit="1" customWidth="1"/>
    <col min="1194" max="1194" width="35" bestFit="1" customWidth="1"/>
    <col min="1195" max="1195" width="41.1640625" bestFit="1" customWidth="1"/>
    <col min="1196" max="1196" width="41.83203125" bestFit="1" customWidth="1"/>
    <col min="1197" max="1197" width="42.33203125" bestFit="1" customWidth="1"/>
    <col min="1198" max="1198" width="26" bestFit="1" customWidth="1"/>
    <col min="1199" max="1199" width="38.83203125" bestFit="1" customWidth="1"/>
    <col min="1200" max="1200" width="41.6640625" bestFit="1" customWidth="1"/>
    <col min="1201" max="1201" width="31" bestFit="1" customWidth="1"/>
    <col min="1202" max="1202" width="38.6640625" bestFit="1" customWidth="1"/>
    <col min="1203" max="1203" width="39.33203125" bestFit="1" customWidth="1"/>
    <col min="1204" max="1204" width="30.33203125" bestFit="1" customWidth="1"/>
    <col min="1205" max="1205" width="29.83203125" bestFit="1" customWidth="1"/>
    <col min="1206" max="1206" width="27.83203125" bestFit="1" customWidth="1"/>
    <col min="1207" max="1207" width="37.83203125" bestFit="1" customWidth="1"/>
    <col min="1208" max="1208" width="24.83203125" bestFit="1" customWidth="1"/>
    <col min="1209" max="1209" width="24" bestFit="1" customWidth="1"/>
    <col min="1210" max="1210" width="43.33203125" bestFit="1" customWidth="1"/>
    <col min="1211" max="1211" width="35.1640625" bestFit="1" customWidth="1"/>
    <col min="1212" max="1212" width="26.1640625" bestFit="1" customWidth="1"/>
    <col min="1213" max="1213" width="33" bestFit="1" customWidth="1"/>
    <col min="1214" max="1214" width="37" bestFit="1" customWidth="1"/>
    <col min="1215" max="1215" width="36" bestFit="1" customWidth="1"/>
    <col min="1216" max="1216" width="42.83203125" bestFit="1" customWidth="1"/>
    <col min="1217" max="1217" width="19.33203125" bestFit="1" customWidth="1"/>
    <col min="1218" max="1218" width="30.83203125" bestFit="1" customWidth="1"/>
    <col min="1219" max="1219" width="32.6640625" bestFit="1" customWidth="1"/>
    <col min="1220" max="1220" width="37.33203125" bestFit="1" customWidth="1"/>
    <col min="1221" max="1221" width="29" bestFit="1" customWidth="1"/>
    <col min="1222" max="1222" width="25.33203125" bestFit="1" customWidth="1"/>
    <col min="1223" max="1223" width="38.83203125" bestFit="1" customWidth="1"/>
    <col min="1224" max="1224" width="27.83203125" bestFit="1" customWidth="1"/>
    <col min="1225" max="1225" width="41.33203125" bestFit="1" customWidth="1"/>
    <col min="1226" max="1226" width="42.1640625" bestFit="1" customWidth="1"/>
    <col min="1227" max="1227" width="23.1640625" bestFit="1" customWidth="1"/>
    <col min="1228" max="1228" width="24.33203125" bestFit="1" customWidth="1"/>
    <col min="1229" max="1229" width="21.5" bestFit="1" customWidth="1"/>
    <col min="1230" max="1230" width="40.5" bestFit="1" customWidth="1"/>
    <col min="1231" max="1231" width="28.5" bestFit="1" customWidth="1"/>
    <col min="1232" max="1232" width="26.33203125" bestFit="1" customWidth="1"/>
    <col min="1233" max="1233" width="40.33203125" bestFit="1" customWidth="1"/>
    <col min="1234" max="1234" width="37.6640625" bestFit="1" customWidth="1"/>
    <col min="1235" max="1235" width="27.83203125" bestFit="1" customWidth="1"/>
    <col min="1236" max="1236" width="3.6640625" bestFit="1" customWidth="1"/>
    <col min="1237" max="1237" width="23.6640625" bestFit="1" customWidth="1"/>
    <col min="1238" max="1238" width="22.6640625" bestFit="1" customWidth="1"/>
    <col min="1239" max="1239" width="22" bestFit="1" customWidth="1"/>
    <col min="1240" max="1240" width="16.33203125" bestFit="1" customWidth="1"/>
    <col min="1241" max="1241" width="21.6640625" bestFit="1" customWidth="1"/>
    <col min="1242" max="1242" width="15.33203125" bestFit="1" customWidth="1"/>
    <col min="1243" max="1243" width="17.83203125" bestFit="1" customWidth="1"/>
    <col min="1244" max="1244" width="24" bestFit="1" customWidth="1"/>
    <col min="1245" max="1245" width="8.33203125" bestFit="1" customWidth="1"/>
    <col min="1246" max="1246" width="23.5" bestFit="1" customWidth="1"/>
    <col min="1247" max="1247" width="16.83203125" bestFit="1" customWidth="1"/>
    <col min="1248" max="1248" width="18.5" bestFit="1" customWidth="1"/>
    <col min="1249" max="1249" width="37.5" bestFit="1" customWidth="1"/>
    <col min="1250" max="1250" width="46.5" bestFit="1" customWidth="1"/>
    <col min="1251" max="1251" width="40.5" bestFit="1" customWidth="1"/>
    <col min="1252" max="1252" width="48.83203125" bestFit="1" customWidth="1"/>
    <col min="1253" max="1253" width="40" bestFit="1" customWidth="1"/>
    <col min="1254" max="1254" width="24.33203125" bestFit="1" customWidth="1"/>
    <col min="1255" max="1255" width="33.6640625" bestFit="1" customWidth="1"/>
    <col min="1256" max="1256" width="49.33203125" bestFit="1" customWidth="1"/>
    <col min="1257" max="1257" width="45.83203125" bestFit="1" customWidth="1"/>
    <col min="1258" max="1258" width="39.83203125" bestFit="1" customWidth="1"/>
    <col min="1259" max="1259" width="46.33203125" bestFit="1" customWidth="1"/>
    <col min="1260" max="1260" width="44.83203125" bestFit="1" customWidth="1"/>
    <col min="1261" max="1261" width="49.33203125" bestFit="1" customWidth="1"/>
    <col min="1262" max="1262" width="34.1640625" bestFit="1" customWidth="1"/>
    <col min="1263" max="1263" width="49" bestFit="1" customWidth="1"/>
    <col min="1264" max="1264" width="40.83203125" bestFit="1" customWidth="1"/>
    <col min="1265" max="1265" width="43.5" bestFit="1" customWidth="1"/>
    <col min="1266" max="1266" width="43.1640625" bestFit="1" customWidth="1"/>
    <col min="1267" max="1267" width="49.33203125" bestFit="1" customWidth="1"/>
    <col min="1268" max="1268" width="50" bestFit="1" customWidth="1"/>
    <col min="1269" max="1269" width="50.33203125" bestFit="1" customWidth="1"/>
    <col min="1270" max="1270" width="34.1640625" bestFit="1" customWidth="1"/>
    <col min="1271" max="1271" width="46.83203125" bestFit="1" customWidth="1"/>
    <col min="1272" max="1272" width="49.83203125" bestFit="1" customWidth="1"/>
    <col min="1273" max="1273" width="39.1640625" bestFit="1" customWidth="1"/>
    <col min="1274" max="1274" width="46.6640625" bestFit="1" customWidth="1"/>
    <col min="1275" max="1275" width="47.5" bestFit="1" customWidth="1"/>
    <col min="1276" max="1276" width="38.5" bestFit="1" customWidth="1"/>
    <col min="1277" max="1277" width="38" bestFit="1" customWidth="1"/>
    <col min="1278" max="1278" width="35.83203125" bestFit="1" customWidth="1"/>
    <col min="1279" max="1279" width="45.83203125" bestFit="1" customWidth="1"/>
    <col min="1280" max="1280" width="33" bestFit="1" customWidth="1"/>
    <col min="1281" max="1281" width="43.33203125" bestFit="1" customWidth="1"/>
    <col min="1282" max="1282" width="32.1640625" bestFit="1" customWidth="1"/>
    <col min="1283" max="1283" width="51.33203125" bestFit="1" customWidth="1"/>
    <col min="1284" max="1284" width="43.33203125" bestFit="1" customWidth="1"/>
    <col min="1285" max="1285" width="34.33203125" bestFit="1" customWidth="1"/>
    <col min="1286" max="1286" width="41" bestFit="1" customWidth="1"/>
    <col min="1287" max="1287" width="45" bestFit="1" customWidth="1"/>
    <col min="1288" max="1288" width="44.1640625" bestFit="1" customWidth="1"/>
    <col min="1289" max="1289" width="50.83203125" bestFit="1" customWidth="1"/>
    <col min="1290" max="1290" width="27.5" bestFit="1" customWidth="1"/>
    <col min="1291" max="1291" width="39" bestFit="1" customWidth="1"/>
    <col min="1292" max="1292" width="40.6640625" bestFit="1" customWidth="1"/>
    <col min="1293" max="1293" width="50.1640625" bestFit="1" customWidth="1"/>
    <col min="1294" max="1294" width="45.33203125" bestFit="1" customWidth="1"/>
    <col min="1295" max="1295" width="37.1640625" bestFit="1" customWidth="1"/>
    <col min="1296" max="1296" width="33.5" bestFit="1" customWidth="1"/>
    <col min="1297" max="1297" width="46.83203125" bestFit="1" customWidth="1"/>
    <col min="1298" max="1298" width="35.83203125" bestFit="1" customWidth="1"/>
    <col min="1299" max="1299" width="49.5" bestFit="1" customWidth="1"/>
    <col min="1300" max="1300" width="50.1640625" bestFit="1" customWidth="1"/>
    <col min="1301" max="1301" width="31.1640625" bestFit="1" customWidth="1"/>
    <col min="1302" max="1302" width="32.5" bestFit="1" customWidth="1"/>
    <col min="1303" max="1303" width="29.5" bestFit="1" customWidth="1"/>
    <col min="1304" max="1304" width="48.6640625" bestFit="1" customWidth="1"/>
    <col min="1305" max="1305" width="36.5" bestFit="1" customWidth="1"/>
    <col min="1306" max="1306" width="34.5" bestFit="1" customWidth="1"/>
    <col min="1307" max="1307" width="48.5" bestFit="1" customWidth="1"/>
    <col min="1308" max="1308" width="45.6640625" bestFit="1" customWidth="1"/>
    <col min="1309" max="1309" width="35.83203125" bestFit="1" customWidth="1"/>
    <col min="1310" max="1310" width="17.33203125" bestFit="1" customWidth="1"/>
    <col min="1311" max="1311" width="37.6640625" bestFit="1" customWidth="1"/>
    <col min="1312" max="1312" width="36.5" bestFit="1" customWidth="1"/>
    <col min="1313" max="1313" width="36.6640625" bestFit="1" customWidth="1"/>
    <col min="1314" max="1314" width="45.83203125" bestFit="1" customWidth="1"/>
    <col min="1315" max="1315" width="51" bestFit="1" customWidth="1"/>
    <col min="1316" max="1316" width="35.83203125" bestFit="1" customWidth="1"/>
    <col min="1317" max="1317" width="39.83203125" bestFit="1" customWidth="1"/>
    <col min="1318" max="1318" width="48.1640625" bestFit="1" customWidth="1"/>
    <col min="1319" max="1319" width="39.33203125" bestFit="1" customWidth="1"/>
    <col min="1320" max="1320" width="23.6640625" bestFit="1" customWidth="1"/>
    <col min="1321" max="1321" width="33" bestFit="1" customWidth="1"/>
    <col min="1322" max="1322" width="48.6640625" bestFit="1" customWidth="1"/>
    <col min="1323" max="1323" width="45.1640625" bestFit="1" customWidth="1"/>
    <col min="1324" max="1324" width="39.1640625" bestFit="1" customWidth="1"/>
    <col min="1325" max="1325" width="45.6640625" bestFit="1" customWidth="1"/>
    <col min="1326" max="1326" width="44.1640625" bestFit="1" customWidth="1"/>
    <col min="1327" max="1327" width="48.6640625" bestFit="1" customWidth="1"/>
    <col min="1328" max="1328" width="33.5" bestFit="1" customWidth="1"/>
    <col min="1329" max="1329" width="48.33203125" bestFit="1" customWidth="1"/>
    <col min="1330" max="1330" width="40.1640625" bestFit="1" customWidth="1"/>
    <col min="1331" max="1331" width="42.83203125" bestFit="1" customWidth="1"/>
    <col min="1332" max="1332" width="42.5" bestFit="1" customWidth="1"/>
    <col min="1333" max="1333" width="48.6640625" bestFit="1" customWidth="1"/>
    <col min="1334" max="1334" width="49.33203125" bestFit="1" customWidth="1"/>
    <col min="1335" max="1335" width="49.6640625" bestFit="1" customWidth="1"/>
    <col min="1336" max="1336" width="33.5" bestFit="1" customWidth="1"/>
    <col min="1337" max="1337" width="46.1640625" bestFit="1" customWidth="1"/>
    <col min="1338" max="1338" width="49.1640625" bestFit="1" customWidth="1"/>
    <col min="1339" max="1339" width="30.1640625" bestFit="1" customWidth="1"/>
    <col min="1340" max="1340" width="38.5" bestFit="1" customWidth="1"/>
    <col min="1341" max="1341" width="46" bestFit="1" customWidth="1"/>
    <col min="1342" max="1342" width="46.6640625" bestFit="1" customWidth="1"/>
    <col min="1343" max="1343" width="37.83203125" bestFit="1" customWidth="1"/>
    <col min="1344" max="1344" width="35.5" bestFit="1" customWidth="1"/>
    <col min="1345" max="1345" width="37.33203125" bestFit="1" customWidth="1"/>
    <col min="1346" max="1346" width="35.1640625" bestFit="1" customWidth="1"/>
    <col min="1347" max="1347" width="29.33203125" bestFit="1" customWidth="1"/>
    <col min="1348" max="1348" width="45.1640625" bestFit="1" customWidth="1"/>
    <col min="1349" max="1349" width="32.33203125" bestFit="1" customWidth="1"/>
    <col min="1350" max="1350" width="42.6640625" bestFit="1" customWidth="1"/>
    <col min="1351" max="1351" width="31.33203125" bestFit="1" customWidth="1"/>
    <col min="1352" max="1352" width="50.6640625" bestFit="1" customWidth="1"/>
    <col min="1353" max="1353" width="42.6640625" bestFit="1" customWidth="1"/>
    <col min="1354" max="1354" width="33.6640625" bestFit="1" customWidth="1"/>
    <col min="1355" max="1355" width="40.33203125" bestFit="1" customWidth="1"/>
    <col min="1356" max="1356" width="31.83203125" bestFit="1" customWidth="1"/>
    <col min="1357" max="1357" width="44.33203125" bestFit="1" customWidth="1"/>
    <col min="1358" max="1358" width="43.5" bestFit="1" customWidth="1"/>
    <col min="1359" max="1359" width="50.1640625" bestFit="1" customWidth="1"/>
    <col min="1360" max="1360" width="26.83203125" bestFit="1" customWidth="1"/>
    <col min="1361" max="1361" width="38.33203125" bestFit="1" customWidth="1"/>
    <col min="1362" max="1362" width="38" bestFit="1" customWidth="1"/>
    <col min="1363" max="1363" width="40" bestFit="1" customWidth="1"/>
    <col min="1364" max="1364" width="49.5" bestFit="1" customWidth="1"/>
    <col min="1365" max="1365" width="44.6640625" bestFit="1" customWidth="1"/>
    <col min="1366" max="1366" width="36.33203125" bestFit="1" customWidth="1"/>
    <col min="1367" max="1367" width="22.1640625" bestFit="1" customWidth="1"/>
    <col min="1368" max="1368" width="32.83203125" bestFit="1" customWidth="1"/>
    <col min="1369" max="1369" width="37.5" bestFit="1" customWidth="1"/>
    <col min="1370" max="1370" width="46.1640625" bestFit="1" customWidth="1"/>
    <col min="1371" max="1371" width="35.1640625" bestFit="1" customWidth="1"/>
    <col min="1372" max="1372" width="30.6640625" bestFit="1" customWidth="1"/>
    <col min="1373" max="1373" width="32.5" bestFit="1" customWidth="1"/>
    <col min="1374" max="1374" width="48.83203125" bestFit="1" customWidth="1"/>
    <col min="1375" max="1375" width="49.5" bestFit="1" customWidth="1"/>
    <col min="1376" max="1376" width="30.5" bestFit="1" customWidth="1"/>
    <col min="1377" max="1377" width="31.83203125" bestFit="1" customWidth="1"/>
    <col min="1378" max="1378" width="28.83203125" bestFit="1" customWidth="1"/>
    <col min="1379" max="1379" width="48" bestFit="1" customWidth="1"/>
    <col min="1380" max="1380" width="35.83203125" bestFit="1" customWidth="1"/>
    <col min="1381" max="1381" width="33.83203125" bestFit="1" customWidth="1"/>
    <col min="1382" max="1382" width="47.83203125" bestFit="1" customWidth="1"/>
    <col min="1383" max="1383" width="45" bestFit="1" customWidth="1"/>
    <col min="1384" max="1384" width="35.1640625" bestFit="1" customWidth="1"/>
    <col min="1385" max="1385" width="10.5" bestFit="1" customWidth="1"/>
  </cols>
  <sheetData>
    <row r="1" spans="1:17">
      <c r="A1" s="601" t="s">
        <v>3601</v>
      </c>
      <c r="B1" s="601" t="s">
        <v>411</v>
      </c>
      <c r="C1" s="601" t="s">
        <v>3602</v>
      </c>
      <c r="D1" s="601" t="s">
        <v>545</v>
      </c>
      <c r="E1" s="601" t="s">
        <v>546</v>
      </c>
      <c r="F1" s="601" t="s">
        <v>547</v>
      </c>
      <c r="G1" s="601" t="s">
        <v>3595</v>
      </c>
      <c r="H1" s="601" t="s">
        <v>3596</v>
      </c>
      <c r="I1" s="601" t="s">
        <v>3597</v>
      </c>
      <c r="J1" s="601" t="s">
        <v>3598</v>
      </c>
      <c r="K1" s="601" t="s">
        <v>3599</v>
      </c>
      <c r="L1" s="601" t="s">
        <v>3600</v>
      </c>
    </row>
    <row r="2" spans="1:17" hidden="1">
      <c r="A2" s="601" t="s">
        <v>548</v>
      </c>
      <c r="B2" s="601" t="str">
        <f>LEFT(A2,FIND(" ",A2))</f>
        <v xml:space="preserve">URBAN </v>
      </c>
      <c r="C2" s="601" t="str">
        <f>MID(Table3[[#This Row],[Statement Code]],FIND("- ",Table3[[#This Row],[Statement Code]])+2,100)</f>
        <v>MARKET VALUE</v>
      </c>
      <c r="D2" s="602" t="s">
        <v>549</v>
      </c>
      <c r="E2" s="601" t="s">
        <v>550</v>
      </c>
      <c r="F2" s="601" t="s">
        <v>551</v>
      </c>
      <c r="G2" s="601">
        <v>2335.73</v>
      </c>
      <c r="H2" s="601">
        <v>2141.52</v>
      </c>
      <c r="I2" s="601">
        <v>3198.79</v>
      </c>
      <c r="J2" s="601">
        <v>1994.66</v>
      </c>
      <c r="K2" s="601">
        <v>2999.4</v>
      </c>
      <c r="L2" s="601">
        <v>3472.68</v>
      </c>
    </row>
    <row r="3" spans="1:17" hidden="1">
      <c r="A3" s="601" t="s">
        <v>552</v>
      </c>
      <c r="B3" s="601" t="str">
        <f t="shared" ref="B3:B66" si="0">LEFT(A3,FIND(" ",A3))</f>
        <v xml:space="preserve">URBAN </v>
      </c>
      <c r="C3" s="601" t="str">
        <f>MID(Table3[[#This Row],[Statement Code]],FIND("- ",Table3[[#This Row],[Statement Code]])+2,100)</f>
        <v>PER</v>
      </c>
      <c r="D3" s="602" t="s">
        <v>553</v>
      </c>
      <c r="E3" s="601" t="s">
        <v>550</v>
      </c>
      <c r="F3" s="601" t="s">
        <v>551</v>
      </c>
      <c r="G3" s="601">
        <v>9.9</v>
      </c>
      <c r="H3" s="601" t="s">
        <v>23</v>
      </c>
      <c r="I3" s="601">
        <v>11.2</v>
      </c>
      <c r="J3" s="601">
        <v>9.5</v>
      </c>
      <c r="K3" s="601">
        <v>13.4</v>
      </c>
      <c r="L3" s="601">
        <v>11.5</v>
      </c>
      <c r="O3" s="603"/>
      <c r="P3" s="604"/>
      <c r="Q3" s="605"/>
    </row>
    <row r="4" spans="1:17" hidden="1">
      <c r="A4" s="601" t="s">
        <v>554</v>
      </c>
      <c r="B4" s="601" t="str">
        <f t="shared" si="0"/>
        <v xml:space="preserve">URBAN </v>
      </c>
      <c r="C4" s="601" t="str">
        <f>MID(Table3[[#This Row],[Statement Code]],FIND("- ",Table3[[#This Row],[Statement Code]])+2,100)</f>
        <v>12MTH FORWARD EPS</v>
      </c>
      <c r="D4" s="602" t="s">
        <v>555</v>
      </c>
      <c r="E4" s="601" t="s">
        <v>550</v>
      </c>
      <c r="F4" s="601" t="s">
        <v>551</v>
      </c>
      <c r="G4" s="601">
        <v>2.552</v>
      </c>
      <c r="H4" s="601">
        <v>1.08</v>
      </c>
      <c r="I4" s="601">
        <v>3.19</v>
      </c>
      <c r="J4" s="601">
        <v>2.0470000000000002</v>
      </c>
      <c r="K4" s="601">
        <v>3.29</v>
      </c>
      <c r="L4" s="601">
        <v>3.7709999999999999</v>
      </c>
      <c r="O4" s="606"/>
      <c r="P4" s="607"/>
      <c r="Q4" s="608"/>
    </row>
    <row r="5" spans="1:17" hidden="1">
      <c r="A5" s="601" t="s">
        <v>556</v>
      </c>
      <c r="B5" s="601" t="str">
        <f t="shared" si="0"/>
        <v xml:space="preserve">URBAN </v>
      </c>
      <c r="C5" s="601" t="e">
        <f>MID(Table3[[#This Row],[Statement Code]],FIND("- ",Table3[[#This Row],[Statement Code]])+2,100)</f>
        <v>#VALUE!</v>
      </c>
      <c r="D5" s="602" t="s">
        <v>557</v>
      </c>
      <c r="E5" s="601" t="s">
        <v>550</v>
      </c>
      <c r="F5" s="601" t="s">
        <v>551</v>
      </c>
      <c r="G5" s="601">
        <v>12.601000000000001</v>
      </c>
      <c r="H5" s="601">
        <v>4.6609999999999996</v>
      </c>
      <c r="I5" s="601">
        <v>9.7729999999999997</v>
      </c>
      <c r="J5" s="601">
        <v>9.6270000000000007</v>
      </c>
      <c r="K5" s="601">
        <v>9.8330000000000002</v>
      </c>
      <c r="L5" s="601">
        <v>10.286</v>
      </c>
      <c r="O5" s="606"/>
      <c r="P5" s="607"/>
      <c r="Q5" s="608"/>
    </row>
    <row r="6" spans="1:17" hidden="1">
      <c r="A6" s="601" t="s">
        <v>556</v>
      </c>
      <c r="B6" s="601" t="str">
        <f t="shared" si="0"/>
        <v xml:space="preserve">URBAN </v>
      </c>
      <c r="C6" s="601" t="e">
        <f>MID(Table3[[#This Row],[Statement Code]],FIND("- ",Table3[[#This Row],[Statement Code]])+2,100)</f>
        <v>#VALUE!</v>
      </c>
      <c r="D6" s="602" t="s">
        <v>558</v>
      </c>
      <c r="E6" s="601" t="s">
        <v>550</v>
      </c>
      <c r="F6" s="601" t="s">
        <v>551</v>
      </c>
      <c r="G6" s="601">
        <v>5.5279999999999996</v>
      </c>
      <c r="H6" s="601">
        <v>10.750999999999999</v>
      </c>
      <c r="I6" s="601">
        <v>6.5739999999999998</v>
      </c>
      <c r="J6" s="601">
        <v>6.2590000000000003</v>
      </c>
      <c r="K6" s="601">
        <v>6.2519999999999998</v>
      </c>
      <c r="L6" s="601">
        <v>6.7480000000000002</v>
      </c>
      <c r="O6" s="606"/>
      <c r="P6" s="607"/>
      <c r="Q6" s="608"/>
    </row>
    <row r="7" spans="1:17" hidden="1">
      <c r="A7" s="601" t="s">
        <v>556</v>
      </c>
      <c r="B7" s="601" t="str">
        <f t="shared" si="0"/>
        <v xml:space="preserve">URBAN </v>
      </c>
      <c r="C7" s="601" t="e">
        <f>MID(Table3[[#This Row],[Statement Code]],FIND("- ",Table3[[#This Row],[Statement Code]])+2,100)</f>
        <v>#VALUE!</v>
      </c>
      <c r="D7" s="602" t="s">
        <v>559</v>
      </c>
      <c r="E7" s="601" t="s">
        <v>550</v>
      </c>
      <c r="F7" s="601" t="s">
        <v>551</v>
      </c>
      <c r="G7" s="601">
        <v>4.0359999999999996</v>
      </c>
      <c r="H7" s="601">
        <v>6.1</v>
      </c>
      <c r="I7" s="601">
        <v>5.1159999999999997</v>
      </c>
      <c r="J7" s="601">
        <v>4.2409999999999997</v>
      </c>
      <c r="K7" s="601">
        <v>4.8</v>
      </c>
      <c r="L7" s="601">
        <v>5.2789999999999999</v>
      </c>
      <c r="O7" s="606"/>
      <c r="P7" s="607"/>
      <c r="Q7" s="608"/>
    </row>
    <row r="8" spans="1:17" hidden="1">
      <c r="A8" s="601" t="s">
        <v>556</v>
      </c>
      <c r="B8" s="601" t="str">
        <f t="shared" si="0"/>
        <v xml:space="preserve">URBAN </v>
      </c>
      <c r="C8" s="601" t="e">
        <f>MID(Table3[[#This Row],[Statement Code]],FIND("- ",Table3[[#This Row],[Statement Code]])+2,100)</f>
        <v>#VALUE!</v>
      </c>
      <c r="D8" s="602" t="s">
        <v>560</v>
      </c>
      <c r="E8" s="601" t="s">
        <v>550</v>
      </c>
      <c r="F8" s="601" t="s">
        <v>551</v>
      </c>
      <c r="G8" s="601">
        <v>8.3473000000000006</v>
      </c>
      <c r="H8" s="601">
        <v>1.6437999999999999</v>
      </c>
      <c r="I8" s="601">
        <v>6.5702999999999996</v>
      </c>
      <c r="J8" s="601">
        <v>0.18479999999999999</v>
      </c>
      <c r="K8" s="601">
        <v>5.5881999999999996</v>
      </c>
      <c r="L8" s="601">
        <v>7.1455000000000002</v>
      </c>
      <c r="O8" s="606"/>
      <c r="P8" s="607"/>
      <c r="Q8" s="608"/>
    </row>
    <row r="9" spans="1:17" hidden="1">
      <c r="A9" s="601" t="s">
        <v>556</v>
      </c>
      <c r="B9" s="601" t="str">
        <f t="shared" si="0"/>
        <v xml:space="preserve">URBAN </v>
      </c>
      <c r="C9" s="601" t="e">
        <f>MID(Table3[[#This Row],[Statement Code]],FIND("- ",Table3[[#This Row],[Statement Code]])+2,100)</f>
        <v>#VALUE!</v>
      </c>
      <c r="D9" s="602" t="s">
        <v>561</v>
      </c>
      <c r="E9" s="601" t="s">
        <v>550</v>
      </c>
      <c r="F9" s="601" t="s">
        <v>551</v>
      </c>
      <c r="G9" s="601">
        <v>0.46300000000000002</v>
      </c>
      <c r="H9" s="601">
        <v>0.41</v>
      </c>
      <c r="I9" s="601">
        <v>0.59099999999999997</v>
      </c>
      <c r="J9" s="601">
        <v>0.33500000000000002</v>
      </c>
      <c r="K9" s="601">
        <v>0.48399999999999999</v>
      </c>
      <c r="L9" s="601">
        <v>0.53600000000000003</v>
      </c>
      <c r="O9" s="606"/>
      <c r="P9" s="607"/>
      <c r="Q9" s="608"/>
    </row>
    <row r="10" spans="1:17" hidden="1">
      <c r="A10" s="601" t="s">
        <v>556</v>
      </c>
      <c r="B10" s="601" t="str">
        <f t="shared" si="0"/>
        <v xml:space="preserve">URBAN </v>
      </c>
      <c r="C10" s="601" t="e">
        <f>MID(Table3[[#This Row],[Statement Code]],FIND("- ",Table3[[#This Row],[Statement Code]])+2,100)</f>
        <v>#VALUE!</v>
      </c>
      <c r="D10" s="602" t="s">
        <v>562</v>
      </c>
      <c r="E10" s="601" t="s">
        <v>550</v>
      </c>
      <c r="F10" s="601" t="s">
        <v>551</v>
      </c>
      <c r="G10" s="601">
        <v>-1.583</v>
      </c>
      <c r="H10" s="601">
        <v>-1.7549999999999999</v>
      </c>
      <c r="I10" s="601">
        <v>-1.4039999999999999</v>
      </c>
      <c r="J10" s="601">
        <v>-1.292</v>
      </c>
      <c r="K10" s="601">
        <v>-1.4510000000000001</v>
      </c>
      <c r="L10" s="601">
        <v>-1.4810000000000001</v>
      </c>
      <c r="O10" s="606"/>
      <c r="P10" s="607"/>
      <c r="Q10" s="608"/>
    </row>
    <row r="11" spans="1:17" hidden="1">
      <c r="A11" s="601" t="s">
        <v>556</v>
      </c>
      <c r="B11" s="601" t="str">
        <f t="shared" si="0"/>
        <v xml:space="preserve">URBAN </v>
      </c>
      <c r="C11" s="601" t="e">
        <f>MID(Table3[[#This Row],[Statement Code]],FIND("- ",Table3[[#This Row],[Statement Code]])+2,100)</f>
        <v>#VALUE!</v>
      </c>
      <c r="D11" s="602" t="s">
        <v>563</v>
      </c>
      <c r="E11" s="601" t="s">
        <v>550</v>
      </c>
      <c r="F11" s="601" t="s">
        <v>551</v>
      </c>
      <c r="G11" s="601">
        <v>-0.46</v>
      </c>
      <c r="H11" s="601">
        <v>-0.19500000000000001</v>
      </c>
      <c r="I11" s="601">
        <v>-0.21</v>
      </c>
      <c r="J11" s="601">
        <v>-0.26</v>
      </c>
      <c r="K11" s="601">
        <v>-0.26300000000000001</v>
      </c>
      <c r="L11" s="601">
        <v>-0.245</v>
      </c>
      <c r="O11" s="606"/>
      <c r="P11" s="607"/>
      <c r="Q11" s="608"/>
    </row>
    <row r="12" spans="1:17" hidden="1">
      <c r="A12" s="601" t="s">
        <v>556</v>
      </c>
      <c r="B12" s="601" t="str">
        <f t="shared" si="0"/>
        <v xml:space="preserve">URBAN </v>
      </c>
      <c r="C12" s="601" t="e">
        <f>MID(Table3[[#This Row],[Statement Code]],FIND("- ",Table3[[#This Row],[Statement Code]])+2,100)</f>
        <v>#VALUE!</v>
      </c>
      <c r="D12" s="602" t="s">
        <v>564</v>
      </c>
      <c r="E12" s="601" t="s">
        <v>550</v>
      </c>
      <c r="F12" s="601" t="s">
        <v>551</v>
      </c>
      <c r="G12" s="601">
        <v>0.47</v>
      </c>
      <c r="H12" s="601">
        <v>0.96</v>
      </c>
      <c r="I12" s="601">
        <v>0.47</v>
      </c>
      <c r="J12" s="601">
        <v>0.61</v>
      </c>
      <c r="K12" s="601">
        <v>0.54</v>
      </c>
      <c r="L12" s="601">
        <v>0.46</v>
      </c>
      <c r="O12" s="606"/>
      <c r="P12" s="607"/>
      <c r="Q12" s="608"/>
    </row>
    <row r="13" spans="1:17" hidden="1">
      <c r="A13" s="601" t="s">
        <v>556</v>
      </c>
      <c r="B13" s="601" t="str">
        <f t="shared" si="0"/>
        <v xml:space="preserve">URBAN </v>
      </c>
      <c r="C13" s="601" t="e">
        <f>MID(Table3[[#This Row],[Statement Code]],FIND("- ",Table3[[#This Row],[Statement Code]])+2,100)</f>
        <v>#VALUE!</v>
      </c>
      <c r="D13" s="602" t="s">
        <v>565</v>
      </c>
      <c r="E13" s="601" t="s">
        <v>550</v>
      </c>
      <c r="F13" s="601" t="s">
        <v>551</v>
      </c>
      <c r="G13" s="601">
        <v>0.28999999999999998</v>
      </c>
      <c r="H13" s="601">
        <v>0.56999999999999995</v>
      </c>
      <c r="I13" s="601">
        <v>0.32</v>
      </c>
      <c r="J13" s="601">
        <v>0.37</v>
      </c>
      <c r="K13" s="601">
        <v>0.36</v>
      </c>
      <c r="L13" s="601">
        <v>0.33</v>
      </c>
      <c r="O13" s="606"/>
      <c r="P13" s="607"/>
      <c r="Q13" s="608"/>
    </row>
    <row r="14" spans="1:17" hidden="1">
      <c r="A14" s="601" t="s">
        <v>556</v>
      </c>
      <c r="B14" s="601" t="str">
        <f t="shared" si="0"/>
        <v xml:space="preserve">URBAN </v>
      </c>
      <c r="C14" s="601" t="e">
        <f>MID(Table3[[#This Row],[Statement Code]],FIND("- ",Table3[[#This Row],[Statement Code]])+2,100)</f>
        <v>#VALUE!</v>
      </c>
      <c r="D14" s="602" t="s">
        <v>566</v>
      </c>
      <c r="E14" s="601" t="s">
        <v>550</v>
      </c>
      <c r="F14" s="601" t="s">
        <v>551</v>
      </c>
      <c r="G14" s="601">
        <v>1.3872</v>
      </c>
      <c r="H14" s="601">
        <v>1.3372999999999999</v>
      </c>
      <c r="I14" s="601">
        <v>1.5577000000000001</v>
      </c>
      <c r="J14" s="601">
        <v>0.9859</v>
      </c>
      <c r="K14" s="601">
        <v>1.2567999999999999</v>
      </c>
      <c r="L14" s="601">
        <v>1.2297</v>
      </c>
      <c r="O14" s="606"/>
      <c r="P14" s="607"/>
      <c r="Q14" s="608"/>
    </row>
    <row r="15" spans="1:17">
      <c r="A15" s="601" t="s">
        <v>567</v>
      </c>
      <c r="B15" s="601" t="str">
        <f t="shared" si="0"/>
        <v xml:space="preserve">URBAN </v>
      </c>
      <c r="C15" s="601" t="str">
        <f>MID(Table3[[#This Row],[Statement Code]],FIND("- ",Table3[[#This Row],[Statement Code]])+2,100)</f>
        <v>12MTH TRAILING EPS</v>
      </c>
      <c r="D15" s="602" t="s">
        <v>568</v>
      </c>
      <c r="E15" s="601" t="s">
        <v>550</v>
      </c>
      <c r="F15" s="601" t="s">
        <v>551</v>
      </c>
      <c r="G15" s="601">
        <v>2.5329999999999999</v>
      </c>
      <c r="H15" s="601">
        <v>0.55300000000000005</v>
      </c>
      <c r="I15" s="601">
        <v>2.2229999999999999</v>
      </c>
      <c r="J15" s="601">
        <v>2.2170000000000001</v>
      </c>
      <c r="K15" s="601">
        <v>2.68</v>
      </c>
      <c r="L15" s="601">
        <v>3.4910000000000001</v>
      </c>
      <c r="O15" s="606"/>
      <c r="P15" s="607"/>
      <c r="Q15" s="608"/>
    </row>
    <row r="16" spans="1:17" hidden="1">
      <c r="A16" s="601" t="s">
        <v>569</v>
      </c>
      <c r="B16" s="601" t="str">
        <f t="shared" si="0"/>
        <v xml:space="preserve">URBAN </v>
      </c>
      <c r="C16" s="601" t="str">
        <f>MID(Table3[[#This Row],[Statement Code]],FIND("- ",Table3[[#This Row],[Statement Code]])+2,100)</f>
        <v>DIV.PER SHR.</v>
      </c>
      <c r="D16" s="602" t="s">
        <v>570</v>
      </c>
      <c r="E16" s="601" t="s">
        <v>550</v>
      </c>
      <c r="F16" s="601" t="s">
        <v>551</v>
      </c>
      <c r="G16" s="601">
        <v>0</v>
      </c>
      <c r="H16" s="601">
        <v>0</v>
      </c>
      <c r="I16" s="601">
        <v>0</v>
      </c>
      <c r="J16" s="601">
        <v>0</v>
      </c>
      <c r="K16" s="601">
        <v>0</v>
      </c>
      <c r="L16" s="601">
        <v>0</v>
      </c>
      <c r="O16" s="606"/>
      <c r="P16" s="607"/>
      <c r="Q16" s="608"/>
    </row>
    <row r="17" spans="1:17" hidden="1">
      <c r="A17" s="601" t="s">
        <v>556</v>
      </c>
      <c r="B17" s="601" t="str">
        <f t="shared" si="0"/>
        <v xml:space="preserve">URBAN </v>
      </c>
      <c r="C17" s="601" t="e">
        <f>MID(Table3[[#This Row],[Statement Code]],FIND("- ",Table3[[#This Row],[Statement Code]])+2,100)</f>
        <v>#VALUE!</v>
      </c>
      <c r="D17" s="602" t="s">
        <v>571</v>
      </c>
      <c r="E17" s="601" t="s">
        <v>550</v>
      </c>
      <c r="F17" s="601" t="s">
        <v>551</v>
      </c>
      <c r="G17" s="601">
        <v>0</v>
      </c>
      <c r="H17" s="601">
        <v>0</v>
      </c>
      <c r="I17" s="601">
        <v>0</v>
      </c>
      <c r="J17" s="601">
        <v>0</v>
      </c>
      <c r="K17" s="601">
        <v>0</v>
      </c>
      <c r="L17" s="601">
        <v>0</v>
      </c>
      <c r="O17" s="606"/>
      <c r="P17" s="607"/>
      <c r="Q17" s="608"/>
    </row>
    <row r="18" spans="1:17" hidden="1">
      <c r="A18" s="601" t="s">
        <v>554</v>
      </c>
      <c r="B18" s="601" t="str">
        <f t="shared" si="0"/>
        <v xml:space="preserve">URBAN </v>
      </c>
      <c r="C18" s="601" t="str">
        <f>MID(Table3[[#This Row],[Statement Code]],FIND("- ",Table3[[#This Row],[Statement Code]])+2,100)</f>
        <v>12MTH FORWARD EPS</v>
      </c>
      <c r="D18" s="602" t="s">
        <v>555</v>
      </c>
      <c r="E18" s="601" t="s">
        <v>550</v>
      </c>
      <c r="F18" s="601" t="s">
        <v>551</v>
      </c>
      <c r="G18" s="601">
        <v>2.552</v>
      </c>
      <c r="H18" s="601">
        <v>1.08</v>
      </c>
      <c r="I18" s="601">
        <v>3.19</v>
      </c>
      <c r="J18" s="601">
        <v>2.0470000000000002</v>
      </c>
      <c r="K18" s="601">
        <v>3.29</v>
      </c>
      <c r="L18" s="601">
        <v>3.7709999999999999</v>
      </c>
      <c r="O18" s="606"/>
      <c r="P18" s="607"/>
      <c r="Q18" s="608"/>
    </row>
    <row r="19" spans="1:17" hidden="1">
      <c r="A19" s="601" t="s">
        <v>552</v>
      </c>
      <c r="B19" s="601" t="str">
        <f t="shared" si="0"/>
        <v xml:space="preserve">URBAN </v>
      </c>
      <c r="C19" s="601" t="str">
        <f>MID(Table3[[#This Row],[Statement Code]],FIND("- ",Table3[[#This Row],[Statement Code]])+2,100)</f>
        <v>PER</v>
      </c>
      <c r="D19" s="602" t="s">
        <v>553</v>
      </c>
      <c r="E19" s="601" t="s">
        <v>550</v>
      </c>
      <c r="F19" s="601" t="s">
        <v>551</v>
      </c>
      <c r="G19" s="601">
        <v>9.9</v>
      </c>
      <c r="H19" s="601" t="s">
        <v>23</v>
      </c>
      <c r="I19" s="601">
        <v>11.2</v>
      </c>
      <c r="J19" s="601">
        <v>9.5</v>
      </c>
      <c r="K19" s="601">
        <v>13.4</v>
      </c>
      <c r="L19" s="601">
        <v>11.5</v>
      </c>
      <c r="O19" s="606"/>
      <c r="P19" s="607"/>
      <c r="Q19" s="608"/>
    </row>
    <row r="20" spans="1:17" hidden="1">
      <c r="A20" s="601" t="s">
        <v>548</v>
      </c>
      <c r="B20" s="601" t="str">
        <f t="shared" si="0"/>
        <v xml:space="preserve">URBAN </v>
      </c>
      <c r="C20" s="601" t="str">
        <f>MID(Table3[[#This Row],[Statement Code]],FIND("- ",Table3[[#This Row],[Statement Code]])+2,100)</f>
        <v>MARKET VALUE</v>
      </c>
      <c r="D20" s="602" t="s">
        <v>549</v>
      </c>
      <c r="E20" s="601" t="s">
        <v>550</v>
      </c>
      <c r="F20" s="601" t="s">
        <v>551</v>
      </c>
      <c r="G20" s="601">
        <v>2335.73</v>
      </c>
      <c r="H20" s="601">
        <v>2141.52</v>
      </c>
      <c r="I20" s="601">
        <v>3198.79</v>
      </c>
      <c r="J20" s="601">
        <v>1994.66</v>
      </c>
      <c r="K20" s="601">
        <v>2999.4</v>
      </c>
      <c r="L20" s="601">
        <v>3472.68</v>
      </c>
      <c r="O20" s="609"/>
      <c r="P20" s="610"/>
      <c r="Q20" s="611"/>
    </row>
    <row r="21" spans="1:17" hidden="1">
      <c r="A21" s="601" t="s">
        <v>572</v>
      </c>
      <c r="B21" s="601" t="str">
        <f t="shared" si="0"/>
        <v xml:space="preserve">URBAN </v>
      </c>
      <c r="C21" s="601" t="str">
        <f>MID(Table3[[#This Row],[Statement Code]],FIND("- ",Table3[[#This Row],[Statement Code]])+2,100)</f>
        <v>EARNINGS PER SHR</v>
      </c>
      <c r="D21" s="602" t="s">
        <v>573</v>
      </c>
      <c r="E21" s="601" t="s">
        <v>550</v>
      </c>
      <c r="F21" s="601" t="s">
        <v>551</v>
      </c>
      <c r="G21" s="601">
        <v>2.42</v>
      </c>
      <c r="H21" s="601">
        <v>0</v>
      </c>
      <c r="I21" s="601">
        <v>2.89</v>
      </c>
      <c r="J21" s="601">
        <v>2.27</v>
      </c>
      <c r="K21" s="601">
        <v>2.41</v>
      </c>
      <c r="L21" s="601">
        <v>3.27</v>
      </c>
    </row>
    <row r="22" spans="1:17" hidden="1">
      <c r="A22" s="601" t="s">
        <v>556</v>
      </c>
      <c r="B22" s="601" t="str">
        <f t="shared" si="0"/>
        <v xml:space="preserve">URBAN </v>
      </c>
      <c r="C22" s="601" t="e">
        <f>MID(Table3[[#This Row],[Statement Code]],FIND("- ",Table3[[#This Row],[Statement Code]])+2,100)</f>
        <v>#VALUE!</v>
      </c>
      <c r="D22" s="602" t="s">
        <v>574</v>
      </c>
      <c r="E22" s="601" t="s">
        <v>550</v>
      </c>
      <c r="F22" s="601" t="s">
        <v>23</v>
      </c>
      <c r="G22" s="601">
        <v>1.3179000000000001</v>
      </c>
      <c r="H22" s="601">
        <v>1.4803999999999999</v>
      </c>
      <c r="I22" s="601">
        <v>1.3974</v>
      </c>
      <c r="J22" s="601">
        <v>1.4027000000000001</v>
      </c>
      <c r="K22" s="601">
        <v>1.3879999999999999</v>
      </c>
      <c r="L22" s="601">
        <v>1.4058999999999999</v>
      </c>
    </row>
    <row r="23" spans="1:17" hidden="1">
      <c r="A23" s="601" t="s">
        <v>556</v>
      </c>
      <c r="B23" s="601" t="str">
        <f t="shared" si="0"/>
        <v xml:space="preserve">URBAN </v>
      </c>
      <c r="C23" s="601" t="e">
        <f>MID(Table3[[#This Row],[Statement Code]],FIND("- ",Table3[[#This Row],[Statement Code]])+2,100)</f>
        <v>#VALUE!</v>
      </c>
      <c r="D23" s="602" t="s">
        <v>575</v>
      </c>
      <c r="E23" s="601" t="s">
        <v>550</v>
      </c>
      <c r="F23" s="601" t="s">
        <v>23</v>
      </c>
      <c r="G23" s="601">
        <v>0.4194</v>
      </c>
      <c r="H23" s="601">
        <v>0.4894</v>
      </c>
      <c r="I23" s="601">
        <v>0.45190000000000002</v>
      </c>
      <c r="J23" s="601">
        <v>0.46039999999999998</v>
      </c>
      <c r="K23" s="601">
        <v>0.4516</v>
      </c>
      <c r="L23" s="601">
        <v>0.44590000000000002</v>
      </c>
    </row>
    <row r="24" spans="1:17" hidden="1">
      <c r="A24" s="601" t="s">
        <v>576</v>
      </c>
      <c r="B24" s="601" t="str">
        <f t="shared" si="0"/>
        <v xml:space="preserve">URBAN </v>
      </c>
      <c r="C24" s="601" t="str">
        <f>MID(Table3[[#This Row],[Statement Code]],FIND("- ",Table3[[#This Row],[Statement Code]])+2,100)</f>
        <v>ACCOUNTS PAYABLE</v>
      </c>
      <c r="D24" s="602" t="s">
        <v>577</v>
      </c>
      <c r="E24" s="601" t="s">
        <v>550</v>
      </c>
      <c r="F24" s="601" t="s">
        <v>551</v>
      </c>
      <c r="G24" s="601">
        <v>167871</v>
      </c>
      <c r="H24" s="601">
        <v>237386</v>
      </c>
      <c r="I24" s="601">
        <v>304246</v>
      </c>
      <c r="J24" s="601">
        <v>257620</v>
      </c>
      <c r="K24" s="601">
        <v>253342</v>
      </c>
      <c r="L24" s="601" t="s">
        <v>23</v>
      </c>
    </row>
    <row r="25" spans="1:17" hidden="1">
      <c r="A25" s="601" t="s">
        <v>578</v>
      </c>
      <c r="B25" s="601" t="str">
        <f t="shared" si="0"/>
        <v xml:space="preserve">URBAN </v>
      </c>
      <c r="C25" s="601" t="str">
        <f>MID(Table3[[#This Row],[Statement Code]],FIND("- ",Table3[[#This Row],[Statement Code]])+2,100)</f>
        <v>AMORT &amp; IMPAIR OF GOODWILL</v>
      </c>
      <c r="D25" s="602" t="s">
        <v>579</v>
      </c>
      <c r="E25" s="601" t="s">
        <v>550</v>
      </c>
      <c r="F25" s="601" t="s">
        <v>551</v>
      </c>
      <c r="G25" s="601">
        <v>13911</v>
      </c>
      <c r="H25" s="601">
        <v>0</v>
      </c>
      <c r="I25" s="601">
        <v>0</v>
      </c>
      <c r="J25" s="601" t="s">
        <v>23</v>
      </c>
      <c r="K25" s="601" t="s">
        <v>23</v>
      </c>
      <c r="L25" s="601" t="s">
        <v>23</v>
      </c>
    </row>
    <row r="26" spans="1:17" hidden="1">
      <c r="A26" s="601" t="s">
        <v>580</v>
      </c>
      <c r="B26" s="601" t="str">
        <f t="shared" si="0"/>
        <v xml:space="preserve">URBAN </v>
      </c>
      <c r="C26" s="601" t="str">
        <f>MID(Table3[[#This Row],[Statement Code]],FIND("- ",Table3[[#This Row],[Statement Code]])+2,100)</f>
        <v>AMORTIZATION OF DEFERRED CHARG</v>
      </c>
      <c r="D26" s="602" t="s">
        <v>581</v>
      </c>
      <c r="E26" s="601" t="s">
        <v>550</v>
      </c>
      <c r="F26" s="601" t="s">
        <v>551</v>
      </c>
      <c r="G26" s="601">
        <v>0</v>
      </c>
      <c r="H26" s="601">
        <v>0</v>
      </c>
      <c r="I26" s="601">
        <v>0</v>
      </c>
      <c r="J26" s="601">
        <v>0</v>
      </c>
      <c r="K26" s="601">
        <v>0</v>
      </c>
      <c r="L26" s="601" t="s">
        <v>23</v>
      </c>
    </row>
    <row r="27" spans="1:17" hidden="1">
      <c r="A27" s="601" t="s">
        <v>582</v>
      </c>
      <c r="B27" s="601" t="str">
        <f t="shared" si="0"/>
        <v xml:space="preserve">URBAN </v>
      </c>
      <c r="C27" s="601" t="str">
        <f>MID(Table3[[#This Row],[Statement Code]],FIND("- ",Table3[[#This Row],[Statement Code]])+2,100)</f>
        <v>BOOK VALUE-OUT SHARES-FISCAL</v>
      </c>
      <c r="D27" s="602" t="s">
        <v>583</v>
      </c>
      <c r="E27" s="601" t="s">
        <v>550</v>
      </c>
      <c r="F27" s="601" t="s">
        <v>551</v>
      </c>
      <c r="G27" s="601">
        <v>14.853999999999999</v>
      </c>
      <c r="H27" s="601">
        <v>15.103</v>
      </c>
      <c r="I27" s="601">
        <v>18.103999999999999</v>
      </c>
      <c r="J27" s="601">
        <v>19.446999999999999</v>
      </c>
      <c r="K27" s="601">
        <v>22.766999999999999</v>
      </c>
      <c r="L27" s="601" t="s">
        <v>23</v>
      </c>
    </row>
    <row r="28" spans="1:17" hidden="1">
      <c r="A28" s="601" t="s">
        <v>584</v>
      </c>
      <c r="B28" s="601" t="str">
        <f t="shared" si="0"/>
        <v xml:space="preserve">URBAN </v>
      </c>
      <c r="C28" s="601" t="str">
        <f>MID(Table3[[#This Row],[Statement Code]],FIND("- ",Table3[[#This Row],[Statement Code]])+2,100)</f>
        <v>BOOK VALUE PER SHARE</v>
      </c>
      <c r="D28" s="602" t="s">
        <v>585</v>
      </c>
      <c r="E28" s="601" t="s">
        <v>550</v>
      </c>
      <c r="F28" s="601" t="s">
        <v>551</v>
      </c>
      <c r="G28" s="601">
        <v>14.853999999999999</v>
      </c>
      <c r="H28" s="601">
        <v>15.103</v>
      </c>
      <c r="I28" s="601">
        <v>18.103999999999999</v>
      </c>
      <c r="J28" s="601">
        <v>19.446999999999999</v>
      </c>
      <c r="K28" s="601">
        <v>22.766999999999999</v>
      </c>
      <c r="L28" s="601" t="s">
        <v>23</v>
      </c>
    </row>
    <row r="29" spans="1:17">
      <c r="A29" s="601" t="s">
        <v>586</v>
      </c>
      <c r="B29" s="601" t="str">
        <f t="shared" si="0"/>
        <v xml:space="preserve">URBAN </v>
      </c>
      <c r="C29" s="601" t="str">
        <f>MID(Table3[[#This Row],[Statement Code]],FIND("- ",Table3[[#This Row],[Statement Code]])+2,100)</f>
        <v>CAPITAL EXPENDITURES</v>
      </c>
      <c r="D29" s="602" t="s">
        <v>587</v>
      </c>
      <c r="E29" s="601" t="s">
        <v>550</v>
      </c>
      <c r="F29" s="601" t="s">
        <v>551</v>
      </c>
      <c r="G29" s="601">
        <v>217433</v>
      </c>
      <c r="H29" s="601">
        <v>159242</v>
      </c>
      <c r="I29" s="601">
        <v>262429</v>
      </c>
      <c r="J29" s="601">
        <v>199513</v>
      </c>
      <c r="K29" s="601">
        <v>199625</v>
      </c>
      <c r="L29" s="601" t="s">
        <v>23</v>
      </c>
    </row>
    <row r="30" spans="1:17" hidden="1">
      <c r="A30" s="601" t="s">
        <v>588</v>
      </c>
      <c r="B30" s="601" t="str">
        <f t="shared" si="0"/>
        <v xml:space="preserve">URBAN </v>
      </c>
      <c r="C30" s="601" t="str">
        <f>MID(Table3[[#This Row],[Statement Code]],FIND("- ",Table3[[#This Row],[Statement Code]])+2,100)</f>
        <v>CASH</v>
      </c>
      <c r="D30" s="602" t="s">
        <v>589</v>
      </c>
      <c r="E30" s="601" t="s">
        <v>550</v>
      </c>
      <c r="F30" s="601" t="s">
        <v>551</v>
      </c>
      <c r="G30" s="601">
        <v>221839</v>
      </c>
      <c r="H30" s="601">
        <v>395635</v>
      </c>
      <c r="I30" s="601">
        <v>206575</v>
      </c>
      <c r="J30" s="601">
        <v>201260</v>
      </c>
      <c r="K30" s="601">
        <v>178321</v>
      </c>
      <c r="L30" s="601" t="s">
        <v>23</v>
      </c>
    </row>
    <row r="31" spans="1:17" hidden="1">
      <c r="A31" s="601" t="s">
        <v>590</v>
      </c>
      <c r="B31" s="601" t="str">
        <f t="shared" si="0"/>
        <v xml:space="preserve">URBAN </v>
      </c>
      <c r="C31" s="601" t="str">
        <f>MID(Table3[[#This Row],[Statement Code]],FIND("- ",Table3[[#This Row],[Statement Code]])+2,100)</f>
        <v>CASH - GENERIC</v>
      </c>
      <c r="D31" s="602" t="s">
        <v>591</v>
      </c>
      <c r="E31" s="601" t="s">
        <v>550</v>
      </c>
      <c r="F31" s="601" t="s">
        <v>551</v>
      </c>
      <c r="G31" s="601">
        <v>433292</v>
      </c>
      <c r="H31" s="601">
        <v>570330</v>
      </c>
      <c r="I31" s="601">
        <v>445995</v>
      </c>
      <c r="J31" s="601">
        <v>382638</v>
      </c>
      <c r="K31" s="601">
        <v>465065</v>
      </c>
      <c r="L31" s="601" t="s">
        <v>23</v>
      </c>
    </row>
    <row r="32" spans="1:17">
      <c r="A32" s="601" t="s">
        <v>592</v>
      </c>
      <c r="B32" s="601" t="str">
        <f t="shared" si="0"/>
        <v xml:space="preserve">URBAN </v>
      </c>
      <c r="C32" s="601" t="str">
        <f>MID(Table3[[#This Row],[Statement Code]],FIND("- ",Table3[[#This Row],[Statement Code]])+2,100)</f>
        <v>CASH &amp; SHORT TERM INVESTMENTS</v>
      </c>
      <c r="D32" s="602" t="s">
        <v>593</v>
      </c>
      <c r="E32" s="601" t="s">
        <v>550</v>
      </c>
      <c r="F32" s="601" t="s">
        <v>551</v>
      </c>
      <c r="G32" s="601">
        <v>433292</v>
      </c>
      <c r="H32" s="601">
        <v>570330</v>
      </c>
      <c r="I32" s="601">
        <v>445995</v>
      </c>
      <c r="J32" s="601">
        <v>382638</v>
      </c>
      <c r="K32" s="601">
        <v>465065</v>
      </c>
      <c r="L32" s="601" t="s">
        <v>23</v>
      </c>
    </row>
    <row r="33" spans="1:12" hidden="1">
      <c r="A33" s="601" t="s">
        <v>594</v>
      </c>
      <c r="B33" s="601" t="str">
        <f t="shared" si="0"/>
        <v xml:space="preserve">URBAN </v>
      </c>
      <c r="C33" s="601" t="str">
        <f>MID(Table3[[#This Row],[Statement Code]],FIND("- ",Table3[[#This Row],[Statement Code]])+2,100)</f>
        <v>CASH DIVIDENDS PAID - TOTAL</v>
      </c>
      <c r="D33" s="602" t="s">
        <v>595</v>
      </c>
      <c r="E33" s="601" t="s">
        <v>550</v>
      </c>
      <c r="F33" s="601" t="s">
        <v>551</v>
      </c>
      <c r="G33" s="601">
        <v>0</v>
      </c>
      <c r="H33" s="601">
        <v>0</v>
      </c>
      <c r="I33" s="601">
        <v>0</v>
      </c>
      <c r="J33" s="601">
        <v>0</v>
      </c>
      <c r="K33" s="601">
        <v>0</v>
      </c>
      <c r="L33" s="601" t="s">
        <v>23</v>
      </c>
    </row>
    <row r="34" spans="1:12" hidden="1">
      <c r="A34" s="601" t="s">
        <v>596</v>
      </c>
      <c r="B34" s="601" t="str">
        <f t="shared" si="0"/>
        <v xml:space="preserve">URBAN </v>
      </c>
      <c r="C34" s="601" t="str">
        <f>MID(Table3[[#This Row],[Statement Code]],FIND("- ",Table3[[#This Row],[Statement Code]])+2,100)</f>
        <v>CASH FLOW PER SHARE</v>
      </c>
      <c r="D34" s="602" t="s">
        <v>597</v>
      </c>
      <c r="E34" s="601" t="s">
        <v>550</v>
      </c>
      <c r="F34" s="601" t="s">
        <v>551</v>
      </c>
      <c r="G34" s="601">
        <v>5.2069999999999999</v>
      </c>
      <c r="H34" s="601">
        <v>3.2930000000000001</v>
      </c>
      <c r="I34" s="601">
        <v>6.37</v>
      </c>
      <c r="J34" s="601">
        <v>5.2069999999999999</v>
      </c>
      <c r="K34" s="601">
        <v>7.2320000000000002</v>
      </c>
      <c r="L34" s="601" t="s">
        <v>23</v>
      </c>
    </row>
    <row r="35" spans="1:12" hidden="1">
      <c r="A35" s="601" t="s">
        <v>598</v>
      </c>
      <c r="B35" s="601" t="str">
        <f t="shared" si="0"/>
        <v xml:space="preserve">URBAN </v>
      </c>
      <c r="C35" s="601" t="str">
        <f>MID(Table3[[#This Row],[Statement Code]],FIND("- ",Table3[[#This Row],[Statement Code]])+2,100)</f>
        <v>CASH FLOW PER SHARE - FIS YR</v>
      </c>
      <c r="D35" s="602" t="s">
        <v>599</v>
      </c>
      <c r="E35" s="601" t="s">
        <v>550</v>
      </c>
      <c r="F35" s="601" t="s">
        <v>551</v>
      </c>
      <c r="G35" s="601">
        <v>5.2069999999999999</v>
      </c>
      <c r="H35" s="601">
        <v>3.2930000000000001</v>
      </c>
      <c r="I35" s="601">
        <v>6.37</v>
      </c>
      <c r="J35" s="601">
        <v>5.2069999999999999</v>
      </c>
      <c r="K35" s="601">
        <v>7.2320000000000002</v>
      </c>
      <c r="L35" s="601" t="s">
        <v>23</v>
      </c>
    </row>
    <row r="36" spans="1:12" hidden="1">
      <c r="A36" s="601" t="s">
        <v>600</v>
      </c>
      <c r="B36" s="601" t="str">
        <f t="shared" si="0"/>
        <v xml:space="preserve">URBAN </v>
      </c>
      <c r="C36" s="601" t="str">
        <f>MID(Table3[[#This Row],[Statement Code]],FIND("- ",Table3[[#This Row],[Statement Code]])+2,100)</f>
        <v>COMMON DIVIDENDS (CASH)</v>
      </c>
      <c r="D36" s="602" t="s">
        <v>601</v>
      </c>
      <c r="E36" s="601" t="s">
        <v>550</v>
      </c>
      <c r="F36" s="601" t="s">
        <v>551</v>
      </c>
      <c r="G36" s="601">
        <v>0</v>
      </c>
      <c r="H36" s="601">
        <v>0</v>
      </c>
      <c r="I36" s="601">
        <v>0</v>
      </c>
      <c r="J36" s="601">
        <v>0</v>
      </c>
      <c r="K36" s="601">
        <v>0</v>
      </c>
      <c r="L36" s="601" t="s">
        <v>23</v>
      </c>
    </row>
    <row r="37" spans="1:12" hidden="1">
      <c r="A37" s="601" t="s">
        <v>602</v>
      </c>
      <c r="B37" s="601" t="str">
        <f t="shared" si="0"/>
        <v xml:space="preserve">URBAN </v>
      </c>
      <c r="C37" s="601" t="str">
        <f>MID(Table3[[#This Row],[Statement Code]],FIND("- ",Table3[[#This Row],[Statement Code]])+2,100)</f>
        <v>COMMON SHAREHOLDERS' EQUITY</v>
      </c>
      <c r="D37" s="602" t="s">
        <v>603</v>
      </c>
      <c r="E37" s="601" t="s">
        <v>550</v>
      </c>
      <c r="F37" s="601" t="s">
        <v>551</v>
      </c>
      <c r="G37" s="601">
        <v>1455355</v>
      </c>
      <c r="H37" s="601">
        <v>1477358</v>
      </c>
      <c r="I37" s="601">
        <v>1745740</v>
      </c>
      <c r="J37" s="601">
        <v>1792683</v>
      </c>
      <c r="K37" s="601">
        <v>2112540</v>
      </c>
      <c r="L37" s="601" t="s">
        <v>23</v>
      </c>
    </row>
    <row r="38" spans="1:12">
      <c r="A38" s="601" t="s">
        <v>604</v>
      </c>
      <c r="B38" s="601" t="str">
        <f t="shared" si="0"/>
        <v xml:space="preserve">URBAN </v>
      </c>
      <c r="C38" s="601" t="str">
        <f>MID(Table3[[#This Row],[Statement Code]],FIND("- ",Table3[[#This Row],[Statement Code]])+2,100)</f>
        <v>COMMON STOCK</v>
      </c>
      <c r="D38" s="602" t="s">
        <v>605</v>
      </c>
      <c r="E38" s="601" t="s">
        <v>550</v>
      </c>
      <c r="F38" s="601" t="s">
        <v>551</v>
      </c>
      <c r="G38" s="601">
        <v>10</v>
      </c>
      <c r="H38" s="601">
        <v>10</v>
      </c>
      <c r="I38" s="601">
        <v>10</v>
      </c>
      <c r="J38" s="601">
        <v>9</v>
      </c>
      <c r="K38" s="601">
        <v>9</v>
      </c>
      <c r="L38" s="601" t="s">
        <v>23</v>
      </c>
    </row>
    <row r="39" spans="1:12" hidden="1">
      <c r="A39" s="601" t="s">
        <v>606</v>
      </c>
      <c r="B39" s="601" t="str">
        <f t="shared" si="0"/>
        <v xml:space="preserve">URBAN </v>
      </c>
      <c r="C39" s="601" t="str">
        <f>MID(Table3[[#This Row],[Statement Code]],FIND("- ",Table3[[#This Row],[Statement Code]])+2,100)</f>
        <v>COST OF GOODS SOLD (EXCL DEP)</v>
      </c>
      <c r="D39" s="602" t="s">
        <v>607</v>
      </c>
      <c r="E39" s="601" t="s">
        <v>550</v>
      </c>
      <c r="F39" s="601" t="s">
        <v>551</v>
      </c>
      <c r="G39" s="601">
        <v>2617096</v>
      </c>
      <c r="H39" s="601">
        <v>2468576</v>
      </c>
      <c r="I39" s="601">
        <v>2949141</v>
      </c>
      <c r="J39" s="601">
        <v>3259272</v>
      </c>
      <c r="K39" s="601">
        <v>3319133</v>
      </c>
      <c r="L39" s="601" t="s">
        <v>23</v>
      </c>
    </row>
    <row r="40" spans="1:12">
      <c r="A40" s="601" t="s">
        <v>608</v>
      </c>
      <c r="B40" s="601" t="str">
        <f t="shared" si="0"/>
        <v xml:space="preserve">URBAN </v>
      </c>
      <c r="C40" s="601" t="str">
        <f>MID(Table3[[#This Row],[Statement Code]],FIND("- ",Table3[[#This Row],[Statement Code]])+2,100)</f>
        <v>CURRENT ASSETS - TOTAL</v>
      </c>
      <c r="D40" s="602" t="s">
        <v>609</v>
      </c>
      <c r="E40" s="601" t="s">
        <v>550</v>
      </c>
      <c r="F40" s="601" t="s">
        <v>551</v>
      </c>
      <c r="G40" s="601">
        <v>1053396</v>
      </c>
      <c r="H40" s="601">
        <v>1223332</v>
      </c>
      <c r="I40" s="601">
        <v>1285747</v>
      </c>
      <c r="J40" s="601">
        <v>1237719</v>
      </c>
      <c r="K40" s="601">
        <v>1282503</v>
      </c>
      <c r="L40" s="601" t="s">
        <v>23</v>
      </c>
    </row>
    <row r="41" spans="1:12">
      <c r="A41" s="601" t="s">
        <v>610</v>
      </c>
      <c r="B41" s="601" t="str">
        <f t="shared" si="0"/>
        <v xml:space="preserve">URBAN </v>
      </c>
      <c r="C41" s="601" t="str">
        <f>MID(Table3[[#This Row],[Statement Code]],FIND("- ",Table3[[#This Row],[Statement Code]])+2,100)</f>
        <v>CURRENT LIABILITIES-TOTAL</v>
      </c>
      <c r="D41" s="602" t="s">
        <v>611</v>
      </c>
      <c r="E41" s="601" t="s">
        <v>550</v>
      </c>
      <c r="F41" s="601" t="s">
        <v>551</v>
      </c>
      <c r="G41" s="601">
        <v>638770</v>
      </c>
      <c r="H41" s="601">
        <v>906132</v>
      </c>
      <c r="I41" s="601">
        <v>981473</v>
      </c>
      <c r="J41" s="601">
        <v>890374</v>
      </c>
      <c r="K41" s="601">
        <v>994205</v>
      </c>
      <c r="L41" s="601" t="s">
        <v>23</v>
      </c>
    </row>
    <row r="42" spans="1:12" hidden="1">
      <c r="A42" s="601" t="s">
        <v>612</v>
      </c>
      <c r="B42" s="601" t="str">
        <f t="shared" si="0"/>
        <v xml:space="preserve">URBAN </v>
      </c>
      <c r="C42" s="601" t="str">
        <f>MID(Table3[[#This Row],[Statement Code]],FIND("- ",Table3[[#This Row],[Statement Code]])+2,100)</f>
        <v>DEFERRED TAXES</v>
      </c>
      <c r="D42" s="602" t="s">
        <v>613</v>
      </c>
      <c r="E42" s="601" t="s">
        <v>550</v>
      </c>
      <c r="F42" s="601" t="s">
        <v>551</v>
      </c>
      <c r="G42" s="601">
        <v>-104578</v>
      </c>
      <c r="H42" s="601">
        <v>-117167</v>
      </c>
      <c r="I42" s="601">
        <v>-136703</v>
      </c>
      <c r="J42" s="601">
        <v>-195178</v>
      </c>
      <c r="K42" s="601">
        <v>-307617</v>
      </c>
      <c r="L42" s="601" t="s">
        <v>23</v>
      </c>
    </row>
    <row r="43" spans="1:12" hidden="1">
      <c r="A43" s="601" t="s">
        <v>614</v>
      </c>
      <c r="B43" s="601" t="str">
        <f t="shared" si="0"/>
        <v xml:space="preserve">URBAN </v>
      </c>
      <c r="C43" s="601" t="str">
        <f>MID(Table3[[#This Row],[Statement Code]],FIND("- ",Table3[[#This Row],[Statement Code]])+2,100)</f>
        <v>DEPRECIATION AND DEPLETION</v>
      </c>
      <c r="D43" s="602" t="s">
        <v>615</v>
      </c>
      <c r="E43" s="601" t="s">
        <v>550</v>
      </c>
      <c r="F43" s="601" t="s">
        <v>551</v>
      </c>
      <c r="G43" s="601">
        <v>112256</v>
      </c>
      <c r="H43" s="601">
        <v>103771</v>
      </c>
      <c r="I43" s="601">
        <v>105672</v>
      </c>
      <c r="J43" s="601">
        <v>102339</v>
      </c>
      <c r="K43" s="601">
        <v>102487</v>
      </c>
      <c r="L43" s="601" t="s">
        <v>23</v>
      </c>
    </row>
    <row r="44" spans="1:12">
      <c r="A44" s="601" t="s">
        <v>616</v>
      </c>
      <c r="B44" s="601" t="str">
        <f t="shared" si="0"/>
        <v xml:space="preserve">URBAN </v>
      </c>
      <c r="C44" s="601" t="str">
        <f>MID(Table3[[#This Row],[Statement Code]],FIND("- ",Table3[[#This Row],[Statement Code]])+2,100)</f>
        <v>DEPRECIATION/DEPLETION/AMORT</v>
      </c>
      <c r="D44" s="602" t="s">
        <v>617</v>
      </c>
      <c r="E44" s="601" t="s">
        <v>550</v>
      </c>
      <c r="F44" s="601" t="s">
        <v>551</v>
      </c>
      <c r="G44" s="601">
        <v>112256</v>
      </c>
      <c r="H44" s="601">
        <v>103771</v>
      </c>
      <c r="I44" s="601">
        <v>105672</v>
      </c>
      <c r="J44" s="601">
        <v>102339</v>
      </c>
      <c r="K44" s="601">
        <v>106825</v>
      </c>
      <c r="L44" s="601" t="s">
        <v>23</v>
      </c>
    </row>
    <row r="45" spans="1:12" hidden="1">
      <c r="A45" s="601" t="s">
        <v>618</v>
      </c>
      <c r="B45" s="601" t="str">
        <f t="shared" si="0"/>
        <v xml:space="preserve">URBAN </v>
      </c>
      <c r="C45" s="601" t="str">
        <f>MID(Table3[[#This Row],[Statement Code]],FIND("- ",Table3[[#This Row],[Statement Code]])+2,100)</f>
        <v>DIVIDENDS PER SHARE</v>
      </c>
      <c r="D45" s="602" t="s">
        <v>619</v>
      </c>
      <c r="E45" s="601" t="s">
        <v>550</v>
      </c>
      <c r="F45" s="601" t="s">
        <v>551</v>
      </c>
      <c r="G45" s="601">
        <v>0</v>
      </c>
      <c r="H45" s="601">
        <v>0</v>
      </c>
      <c r="I45" s="601">
        <v>0</v>
      </c>
      <c r="J45" s="601">
        <v>0</v>
      </c>
      <c r="K45" s="601">
        <v>0</v>
      </c>
      <c r="L45" s="601" t="s">
        <v>23</v>
      </c>
    </row>
    <row r="46" spans="1:12" hidden="1">
      <c r="A46" s="601" t="s">
        <v>620</v>
      </c>
      <c r="B46" s="601" t="str">
        <f t="shared" si="0"/>
        <v xml:space="preserve">URBAN </v>
      </c>
      <c r="C46" s="601" t="str">
        <f>MID(Table3[[#This Row],[Statement Code]],FIND("- ",Table3[[#This Row],[Statement Code]])+2,100)</f>
        <v>DIVIDENDS PER SHARE - FISCAL</v>
      </c>
      <c r="D46" s="602" t="s">
        <v>621</v>
      </c>
      <c r="E46" s="601" t="s">
        <v>550</v>
      </c>
      <c r="F46" s="601" t="s">
        <v>551</v>
      </c>
      <c r="G46" s="601">
        <v>0</v>
      </c>
      <c r="H46" s="601">
        <v>0</v>
      </c>
      <c r="I46" s="601">
        <v>0</v>
      </c>
      <c r="J46" s="601">
        <v>0</v>
      </c>
      <c r="K46" s="601">
        <v>0</v>
      </c>
      <c r="L46" s="601" t="s">
        <v>23</v>
      </c>
    </row>
    <row r="47" spans="1:12">
      <c r="A47" s="601" t="s">
        <v>622</v>
      </c>
      <c r="B47" s="601" t="str">
        <f t="shared" si="0"/>
        <v xml:space="preserve">URBAN </v>
      </c>
      <c r="C47" s="601" t="str">
        <f>MID(Table3[[#This Row],[Statement Code]],FIND("- ",Table3[[#This Row],[Statement Code]])+2,100)</f>
        <v>EARNINGS BEF INTEREST &amp; TAXES</v>
      </c>
      <c r="D47" s="602" t="s">
        <v>623</v>
      </c>
      <c r="E47" s="601" t="s">
        <v>550</v>
      </c>
      <c r="F47" s="601" t="s">
        <v>551</v>
      </c>
      <c r="G47" s="601">
        <v>239720</v>
      </c>
      <c r="H47" s="601">
        <v>6918</v>
      </c>
      <c r="I47" s="601">
        <v>405735</v>
      </c>
      <c r="J47" s="601">
        <v>222594</v>
      </c>
      <c r="K47" s="601">
        <v>389269</v>
      </c>
      <c r="L47" s="601" t="s">
        <v>23</v>
      </c>
    </row>
    <row r="48" spans="1:12" hidden="1">
      <c r="A48" s="601" t="s">
        <v>624</v>
      </c>
      <c r="B48" s="601" t="str">
        <f t="shared" si="0"/>
        <v xml:space="preserve">URBAN </v>
      </c>
      <c r="C48" s="601" t="str">
        <f>MID(Table3[[#This Row],[Statement Code]],FIND("- ",Table3[[#This Row],[Statement Code]])+2,100)</f>
        <v>EBIT &amp; DEPRECIATION</v>
      </c>
      <c r="D48" s="602" t="s">
        <v>625</v>
      </c>
      <c r="E48" s="601" t="s">
        <v>550</v>
      </c>
      <c r="F48" s="601" t="s">
        <v>551</v>
      </c>
      <c r="G48" s="601">
        <v>351976</v>
      </c>
      <c r="H48" s="601">
        <v>110689</v>
      </c>
      <c r="I48" s="601">
        <v>511407</v>
      </c>
      <c r="J48" s="601">
        <v>324933</v>
      </c>
      <c r="K48" s="601">
        <v>496094</v>
      </c>
      <c r="L48" s="601" t="s">
        <v>23</v>
      </c>
    </row>
    <row r="49" spans="1:12" hidden="1">
      <c r="A49" s="601" t="s">
        <v>626</v>
      </c>
      <c r="B49" s="601" t="str">
        <f t="shared" si="0"/>
        <v xml:space="preserve">URBAN </v>
      </c>
      <c r="C49" s="601" t="str">
        <f>MID(Table3[[#This Row],[Statement Code]],FIND("- ",Table3[[#This Row],[Statement Code]])+2,100)</f>
        <v>EARNINGS PER SHARE</v>
      </c>
      <c r="D49" s="602" t="s">
        <v>627</v>
      </c>
      <c r="E49" s="601" t="s">
        <v>550</v>
      </c>
      <c r="F49" s="601" t="s">
        <v>551</v>
      </c>
      <c r="G49" s="601">
        <v>1.671</v>
      </c>
      <c r="H49" s="601">
        <v>1.2999999999999999E-2</v>
      </c>
      <c r="I49" s="601">
        <v>3.129</v>
      </c>
      <c r="J49" s="601">
        <v>1.696</v>
      </c>
      <c r="K49" s="601">
        <v>3.05</v>
      </c>
      <c r="L49" s="601" t="s">
        <v>23</v>
      </c>
    </row>
    <row r="50" spans="1:12" hidden="1">
      <c r="A50" s="601" t="s">
        <v>628</v>
      </c>
      <c r="B50" s="601" t="str">
        <f t="shared" si="0"/>
        <v xml:space="preserve">URBAN </v>
      </c>
      <c r="C50" s="601" t="str">
        <f>MID(Table3[[#This Row],[Statement Code]],FIND("- ",Table3[[#This Row],[Statement Code]])+2,100)</f>
        <v>FISCAL EPS-FULLY DILUTED-YR</v>
      </c>
      <c r="D50" s="602" t="s">
        <v>629</v>
      </c>
      <c r="E50" s="601" t="s">
        <v>550</v>
      </c>
      <c r="F50" s="601" t="s">
        <v>551</v>
      </c>
      <c r="G50" s="601">
        <v>1.671</v>
      </c>
      <c r="H50" s="601">
        <v>1.2999999999999999E-2</v>
      </c>
      <c r="I50" s="601">
        <v>3.129</v>
      </c>
      <c r="J50" s="601">
        <v>1.696</v>
      </c>
      <c r="K50" s="601">
        <v>3.05</v>
      </c>
      <c r="L50" s="601" t="s">
        <v>23</v>
      </c>
    </row>
    <row r="51" spans="1:12" hidden="1">
      <c r="A51" s="601" t="s">
        <v>630</v>
      </c>
      <c r="B51" s="601" t="str">
        <f t="shared" si="0"/>
        <v xml:space="preserve">URBAN </v>
      </c>
      <c r="C51" s="601" t="str">
        <f>MID(Table3[[#This Row],[Statement Code]],FIND("- ",Table3[[#This Row],[Statement Code]])+2,100)</f>
        <v>ENTERPRISE VALUE</v>
      </c>
      <c r="D51" s="602" t="s">
        <v>631</v>
      </c>
      <c r="E51" s="601" t="s">
        <v>550</v>
      </c>
      <c r="F51" s="601" t="s">
        <v>551</v>
      </c>
      <c r="G51" s="601">
        <v>2074914</v>
      </c>
      <c r="H51" s="601">
        <v>2112762</v>
      </c>
      <c r="I51" s="601">
        <v>2323505</v>
      </c>
      <c r="J51" s="601">
        <v>2154625</v>
      </c>
      <c r="K51" s="601">
        <v>3074427</v>
      </c>
      <c r="L51" s="601" t="s">
        <v>23</v>
      </c>
    </row>
    <row r="52" spans="1:12">
      <c r="A52" s="601" t="s">
        <v>632</v>
      </c>
      <c r="B52" s="601" t="str">
        <f t="shared" si="0"/>
        <v xml:space="preserve">URBAN </v>
      </c>
      <c r="C52" s="601" t="str">
        <f>MID(Table3[[#This Row],[Statement Code]],FIND("- ",Table3[[#This Row],[Statement Code]])+2,100)</f>
        <v>GROSS INCOME</v>
      </c>
      <c r="D52" s="602" t="s">
        <v>633</v>
      </c>
      <c r="E52" s="601" t="s">
        <v>550</v>
      </c>
      <c r="F52" s="601" t="s">
        <v>551</v>
      </c>
      <c r="G52" s="601">
        <v>1254437</v>
      </c>
      <c r="H52" s="601">
        <v>877402</v>
      </c>
      <c r="I52" s="601">
        <v>1493950</v>
      </c>
      <c r="J52" s="601">
        <v>1433633</v>
      </c>
      <c r="K52" s="601">
        <v>1727279</v>
      </c>
      <c r="L52" s="601" t="s">
        <v>23</v>
      </c>
    </row>
    <row r="53" spans="1:12" hidden="1">
      <c r="A53" s="601" t="s">
        <v>634</v>
      </c>
      <c r="B53" s="601" t="str">
        <f t="shared" si="0"/>
        <v xml:space="preserve">URBAN </v>
      </c>
      <c r="C53" s="601" t="str">
        <f>MID(Table3[[#This Row],[Statement Code]],FIND("- ",Table3[[#This Row],[Statement Code]])+2,100)</f>
        <v>IMPAIRMENT OF GOODWILL</v>
      </c>
      <c r="D53" s="602" t="s">
        <v>635</v>
      </c>
      <c r="E53" s="601" t="s">
        <v>550</v>
      </c>
      <c r="F53" s="601" t="s">
        <v>551</v>
      </c>
      <c r="G53" s="601">
        <v>13911</v>
      </c>
      <c r="H53" s="601">
        <v>0</v>
      </c>
      <c r="I53" s="601">
        <v>0</v>
      </c>
      <c r="J53" s="601" t="s">
        <v>23</v>
      </c>
      <c r="K53" s="601" t="s">
        <v>23</v>
      </c>
      <c r="L53" s="601" t="s">
        <v>23</v>
      </c>
    </row>
    <row r="54" spans="1:12">
      <c r="A54" s="601" t="s">
        <v>636</v>
      </c>
      <c r="B54" s="601" t="str">
        <f t="shared" si="0"/>
        <v xml:space="preserve">URBAN </v>
      </c>
      <c r="C54" s="601" t="str">
        <f>MID(Table3[[#This Row],[Statement Code]],FIND("- ",Table3[[#This Row],[Statement Code]])+2,100)</f>
        <v>INCOME TAXES</v>
      </c>
      <c r="D54" s="602" t="s">
        <v>637</v>
      </c>
      <c r="E54" s="601" t="s">
        <v>550</v>
      </c>
      <c r="F54" s="601" t="s">
        <v>551</v>
      </c>
      <c r="G54" s="601">
        <v>71624</v>
      </c>
      <c r="H54" s="601">
        <v>2277</v>
      </c>
      <c r="I54" s="601">
        <v>94015</v>
      </c>
      <c r="J54" s="601">
        <v>61580</v>
      </c>
      <c r="K54" s="601">
        <v>93933</v>
      </c>
      <c r="L54" s="601" t="s">
        <v>23</v>
      </c>
    </row>
    <row r="55" spans="1:12" hidden="1">
      <c r="A55" s="601" t="s">
        <v>638</v>
      </c>
      <c r="B55" s="601" t="str">
        <f t="shared" si="0"/>
        <v xml:space="preserve">URBAN </v>
      </c>
      <c r="C55" s="601" t="str">
        <f>MID(Table3[[#This Row],[Statement Code]],FIND("- ",Table3[[#This Row],[Statement Code]])+2,100)</f>
        <v>INCREASE/DECREASE IN CASH/SHOR</v>
      </c>
      <c r="D55" s="602" t="s">
        <v>639</v>
      </c>
      <c r="E55" s="601" t="s">
        <v>550</v>
      </c>
      <c r="F55" s="601" t="s">
        <v>551</v>
      </c>
      <c r="G55" s="601">
        <v>-136421</v>
      </c>
      <c r="H55" s="601">
        <v>173796</v>
      </c>
      <c r="I55" s="601">
        <v>-189060</v>
      </c>
      <c r="J55" s="601">
        <v>-5315</v>
      </c>
      <c r="K55" s="601">
        <v>-22939</v>
      </c>
      <c r="L55" s="601" t="s">
        <v>23</v>
      </c>
    </row>
    <row r="56" spans="1:12">
      <c r="A56" s="601" t="s">
        <v>640</v>
      </c>
      <c r="B56" s="601" t="str">
        <f t="shared" si="0"/>
        <v xml:space="preserve">URBAN </v>
      </c>
      <c r="C56" s="601" t="str">
        <f>MID(Table3[[#This Row],[Statement Code]],FIND("- ",Table3[[#This Row],[Statement Code]])+2,100)</f>
        <v>INTEREST EXPENSE ON DEBT</v>
      </c>
      <c r="D56" s="602" t="s">
        <v>641</v>
      </c>
      <c r="E56" s="601" t="s">
        <v>550</v>
      </c>
      <c r="F56" s="601" t="s">
        <v>551</v>
      </c>
      <c r="G56" s="601">
        <v>0</v>
      </c>
      <c r="H56" s="601">
        <v>3405</v>
      </c>
      <c r="I56" s="601">
        <v>1104</v>
      </c>
      <c r="J56" s="601">
        <v>1315</v>
      </c>
      <c r="K56" s="601">
        <v>7662</v>
      </c>
      <c r="L56" s="601" t="s">
        <v>23</v>
      </c>
    </row>
    <row r="57" spans="1:12" hidden="1">
      <c r="A57" s="601" t="s">
        <v>642</v>
      </c>
      <c r="B57" s="601" t="str">
        <f t="shared" si="0"/>
        <v xml:space="preserve">URBAN </v>
      </c>
      <c r="C57" s="601" t="str">
        <f>MID(Table3[[#This Row],[Statement Code]],FIND("- ",Table3[[#This Row],[Statement Code]])+2,100)</f>
        <v>TOTAL INVENTORIES</v>
      </c>
      <c r="D57" s="602" t="s">
        <v>643</v>
      </c>
      <c r="E57" s="601" t="s">
        <v>550</v>
      </c>
      <c r="F57" s="601" t="s">
        <v>551</v>
      </c>
      <c r="G57" s="601">
        <v>409534</v>
      </c>
      <c r="H57" s="601">
        <v>389618</v>
      </c>
      <c r="I57" s="601">
        <v>569699</v>
      </c>
      <c r="J57" s="601">
        <v>587510</v>
      </c>
      <c r="K57" s="601">
        <v>550242</v>
      </c>
      <c r="L57" s="601" t="s">
        <v>23</v>
      </c>
    </row>
    <row r="58" spans="1:12">
      <c r="A58" s="601" t="s">
        <v>644</v>
      </c>
      <c r="B58" s="601" t="str">
        <f t="shared" si="0"/>
        <v xml:space="preserve">URBAN </v>
      </c>
      <c r="C58" s="601" t="str">
        <f>MID(Table3[[#This Row],[Statement Code]],FIND("- ",Table3[[#This Row],[Statement Code]])+2,100)</f>
        <v>LONG TERM DEBT</v>
      </c>
      <c r="D58" s="602" t="s">
        <v>645</v>
      </c>
      <c r="E58" s="601" t="s">
        <v>550</v>
      </c>
      <c r="F58" s="601" t="s">
        <v>551</v>
      </c>
      <c r="G58" s="601">
        <v>0</v>
      </c>
      <c r="H58" s="601">
        <v>0</v>
      </c>
      <c r="I58" s="601">
        <v>0</v>
      </c>
      <c r="J58" s="601">
        <v>0</v>
      </c>
      <c r="K58" s="601">
        <v>0</v>
      </c>
      <c r="L58" s="601" t="s">
        <v>23</v>
      </c>
    </row>
    <row r="59" spans="1:12" hidden="1">
      <c r="A59" s="601" t="s">
        <v>646</v>
      </c>
      <c r="B59" s="601" t="str">
        <f t="shared" si="0"/>
        <v xml:space="preserve">URBAN </v>
      </c>
      <c r="C59" s="601" t="str">
        <f>MID(Table3[[#This Row],[Statement Code]],FIND("- ",Table3[[#This Row],[Statement Code]])+2,100)</f>
        <v>MARKET CAPITALIZATION</v>
      </c>
      <c r="D59" s="602" t="s">
        <v>647</v>
      </c>
      <c r="E59" s="601" t="s">
        <v>550</v>
      </c>
      <c r="F59" s="601" t="s">
        <v>551</v>
      </c>
      <c r="G59" s="601">
        <v>2720816</v>
      </c>
      <c r="H59" s="601">
        <v>2504089</v>
      </c>
      <c r="I59" s="601">
        <v>2831215</v>
      </c>
      <c r="J59" s="601">
        <v>2198510</v>
      </c>
      <c r="K59" s="601">
        <v>3311587</v>
      </c>
      <c r="L59" s="601" t="s">
        <v>23</v>
      </c>
    </row>
    <row r="60" spans="1:12" hidden="1">
      <c r="A60" s="601" t="s">
        <v>648</v>
      </c>
      <c r="B60" s="601" t="str">
        <f t="shared" si="0"/>
        <v xml:space="preserve">URBAN </v>
      </c>
      <c r="C60" s="601" t="str">
        <f>MID(Table3[[#This Row],[Statement Code]],FIND("- ",Table3[[#This Row],[Statement Code]])+2,100)</f>
        <v>NET CASH FLOW - FINANCING</v>
      </c>
      <c r="D60" s="602" t="s">
        <v>649</v>
      </c>
      <c r="E60" s="601" t="s">
        <v>550</v>
      </c>
      <c r="F60" s="601" t="s">
        <v>551</v>
      </c>
      <c r="G60" s="601">
        <v>-222047</v>
      </c>
      <c r="H60" s="601">
        <v>-10417</v>
      </c>
      <c r="I60" s="601">
        <v>-60265</v>
      </c>
      <c r="J60" s="601">
        <v>-118400</v>
      </c>
      <c r="K60" s="601">
        <v>-12132</v>
      </c>
      <c r="L60" s="601" t="s">
        <v>23</v>
      </c>
    </row>
    <row r="61" spans="1:12" hidden="1">
      <c r="A61" s="601" t="s">
        <v>650</v>
      </c>
      <c r="B61" s="601" t="str">
        <f t="shared" si="0"/>
        <v xml:space="preserve">URBAN </v>
      </c>
      <c r="C61" s="601" t="str">
        <f>MID(Table3[[#This Row],[Statement Code]],FIND("- ",Table3[[#This Row],[Statement Code]])+2,100)</f>
        <v>NET CASH FLOW - INVESTING</v>
      </c>
      <c r="D61" s="602" t="s">
        <v>651</v>
      </c>
      <c r="E61" s="601" t="s">
        <v>550</v>
      </c>
      <c r="F61" s="601" t="s">
        <v>551</v>
      </c>
      <c r="G61" s="601">
        <v>186145</v>
      </c>
      <c r="H61" s="601">
        <v>101900</v>
      </c>
      <c r="I61" s="601">
        <v>487664</v>
      </c>
      <c r="J61" s="601">
        <v>32011</v>
      </c>
      <c r="K61" s="601">
        <v>521648</v>
      </c>
      <c r="L61" s="601" t="s">
        <v>23</v>
      </c>
    </row>
    <row r="62" spans="1:12" hidden="1">
      <c r="A62" s="601" t="s">
        <v>652</v>
      </c>
      <c r="B62" s="601" t="str">
        <f t="shared" si="0"/>
        <v xml:space="preserve">URBAN </v>
      </c>
      <c r="C62" s="601" t="str">
        <f>MID(Table3[[#This Row],[Statement Code]],FIND("- ",Table3[[#This Row],[Statement Code]])+2,100)</f>
        <v>NET CASH FLOW-OPERATING ACTIVS</v>
      </c>
      <c r="D62" s="602" t="s">
        <v>653</v>
      </c>
      <c r="E62" s="601" t="s">
        <v>550</v>
      </c>
      <c r="F62" s="601" t="s">
        <v>551</v>
      </c>
      <c r="G62" s="601">
        <v>273893</v>
      </c>
      <c r="H62" s="601">
        <v>285814</v>
      </c>
      <c r="I62" s="601">
        <v>359319</v>
      </c>
      <c r="J62" s="601">
        <v>142729</v>
      </c>
      <c r="K62" s="601">
        <v>509411</v>
      </c>
      <c r="L62" s="601" t="s">
        <v>23</v>
      </c>
    </row>
    <row r="63" spans="1:12" hidden="1">
      <c r="A63" s="601" t="s">
        <v>654</v>
      </c>
      <c r="B63" s="601" t="str">
        <f t="shared" si="0"/>
        <v xml:space="preserve">URBAN </v>
      </c>
      <c r="C63" s="601" t="str">
        <f>MID(Table3[[#This Row],[Statement Code]],FIND("- ",Table3[[#This Row],[Statement Code]])+2,100)</f>
        <v>NET DEBT</v>
      </c>
      <c r="D63" s="602" t="s">
        <v>655</v>
      </c>
      <c r="E63" s="601" t="s">
        <v>550</v>
      </c>
      <c r="F63" s="601" t="s">
        <v>551</v>
      </c>
      <c r="G63" s="601">
        <v>-433292</v>
      </c>
      <c r="H63" s="601">
        <v>-570330</v>
      </c>
      <c r="I63" s="601">
        <v>-445995</v>
      </c>
      <c r="J63" s="601">
        <v>-370205</v>
      </c>
      <c r="K63" s="601">
        <v>-451499</v>
      </c>
      <c r="L63" s="601" t="s">
        <v>23</v>
      </c>
    </row>
    <row r="64" spans="1:12">
      <c r="A64" s="601" t="s">
        <v>656</v>
      </c>
      <c r="B64" s="601" t="str">
        <f t="shared" si="0"/>
        <v xml:space="preserve">URBAN </v>
      </c>
      <c r="C64" s="601" t="str">
        <f>MID(Table3[[#This Row],[Statement Code]],FIND("- ",Table3[[#This Row],[Statement Code]])+2,100)</f>
        <v>NET INCOME - DILUTED</v>
      </c>
      <c r="D64" s="602" t="s">
        <v>657</v>
      </c>
      <c r="E64" s="601" t="s">
        <v>550</v>
      </c>
      <c r="F64" s="601" t="s">
        <v>551</v>
      </c>
      <c r="G64" s="601">
        <v>168096</v>
      </c>
      <c r="H64" s="601">
        <v>1236</v>
      </c>
      <c r="I64" s="601">
        <v>310616</v>
      </c>
      <c r="J64" s="601">
        <v>159699</v>
      </c>
      <c r="K64" s="601">
        <v>287674</v>
      </c>
      <c r="L64" s="601" t="s">
        <v>23</v>
      </c>
    </row>
    <row r="65" spans="1:12">
      <c r="A65" s="601" t="s">
        <v>658</v>
      </c>
      <c r="B65" s="601" t="str">
        <f t="shared" si="0"/>
        <v xml:space="preserve">URBAN </v>
      </c>
      <c r="C65" s="601" t="str">
        <f>MID(Table3[[#This Row],[Statement Code]],FIND("- ",Table3[[#This Row],[Statement Code]])+2,100)</f>
        <v>NET SALES OR REVENUES</v>
      </c>
      <c r="D65" s="602" t="s">
        <v>659</v>
      </c>
      <c r="E65" s="601" t="s">
        <v>550</v>
      </c>
      <c r="F65" s="601" t="s">
        <v>551</v>
      </c>
      <c r="G65" s="601">
        <v>3983789</v>
      </c>
      <c r="H65" s="601">
        <v>3449749</v>
      </c>
      <c r="I65" s="601">
        <v>4548763</v>
      </c>
      <c r="J65" s="601">
        <v>4795244</v>
      </c>
      <c r="K65" s="601">
        <v>5153237</v>
      </c>
      <c r="L65" s="601" t="s">
        <v>23</v>
      </c>
    </row>
    <row r="66" spans="1:12" hidden="1">
      <c r="A66" s="601" t="s">
        <v>660</v>
      </c>
      <c r="B66" s="601" t="str">
        <f t="shared" si="0"/>
        <v xml:space="preserve">URBAN </v>
      </c>
      <c r="C66" s="601" t="str">
        <f>MID(Table3[[#This Row],[Statement Code]],FIND("- ",Table3[[#This Row],[Statement Code]])+2,100)</f>
        <v>NON-OPERATING INTEREST INCOME</v>
      </c>
      <c r="D66" s="602" t="s">
        <v>661</v>
      </c>
      <c r="E66" s="601" t="s">
        <v>550</v>
      </c>
      <c r="F66" s="601" t="s">
        <v>551</v>
      </c>
      <c r="G66" s="601">
        <v>10599</v>
      </c>
      <c r="H66" s="601">
        <v>3119</v>
      </c>
      <c r="I66" s="601">
        <v>2343</v>
      </c>
      <c r="J66" s="601">
        <v>3506</v>
      </c>
      <c r="K66" s="601">
        <v>23635</v>
      </c>
      <c r="L66" s="601" t="s">
        <v>23</v>
      </c>
    </row>
    <row r="67" spans="1:12" hidden="1">
      <c r="A67" s="601" t="s">
        <v>662</v>
      </c>
      <c r="B67" s="601" t="str">
        <f t="shared" ref="B67:B130" si="1">LEFT(A67,FIND(" ",A67))</f>
        <v xml:space="preserve">URBAN </v>
      </c>
      <c r="C67" s="601" t="str">
        <f>MID(Table3[[#This Row],[Statement Code]],FIND("- ",Table3[[#This Row],[Statement Code]])+2,100)</f>
        <v>OPERATING EXPENSES - TOTAL</v>
      </c>
      <c r="D67" s="602" t="s">
        <v>663</v>
      </c>
      <c r="E67" s="601" t="s">
        <v>550</v>
      </c>
      <c r="F67" s="601" t="s">
        <v>551</v>
      </c>
      <c r="G67" s="601">
        <v>3723342</v>
      </c>
      <c r="H67" s="601">
        <v>3430281</v>
      </c>
      <c r="I67" s="601">
        <v>4140197</v>
      </c>
      <c r="J67" s="601">
        <v>4562204</v>
      </c>
      <c r="K67" s="601">
        <v>4765163</v>
      </c>
      <c r="L67" s="601" t="s">
        <v>23</v>
      </c>
    </row>
    <row r="68" spans="1:12">
      <c r="A68" s="601" t="s">
        <v>664</v>
      </c>
      <c r="B68" s="601" t="str">
        <f t="shared" si="1"/>
        <v xml:space="preserve">URBAN </v>
      </c>
      <c r="C68" s="601" t="str">
        <f>MID(Table3[[#This Row],[Statement Code]],FIND("- ",Table3[[#This Row],[Statement Code]])+2,100)</f>
        <v>OPERATING INCOME</v>
      </c>
      <c r="D68" s="602" t="s">
        <v>665</v>
      </c>
      <c r="E68" s="601" t="s">
        <v>550</v>
      </c>
      <c r="F68" s="601" t="s">
        <v>551</v>
      </c>
      <c r="G68" s="601">
        <v>260447</v>
      </c>
      <c r="H68" s="601">
        <v>19468</v>
      </c>
      <c r="I68" s="601">
        <v>408566</v>
      </c>
      <c r="J68" s="601">
        <v>233040</v>
      </c>
      <c r="K68" s="601">
        <v>388074</v>
      </c>
      <c r="L68" s="601" t="s">
        <v>23</v>
      </c>
    </row>
    <row r="69" spans="1:12" hidden="1">
      <c r="A69" s="601" t="s">
        <v>666</v>
      </c>
      <c r="B69" s="601" t="str">
        <f t="shared" si="1"/>
        <v xml:space="preserve">URBAN </v>
      </c>
      <c r="C69" s="601" t="str">
        <f>MID(Table3[[#This Row],[Statement Code]],FIND("- ",Table3[[#This Row],[Statement Code]])+2,100)</f>
        <v>PRETAX INCOME</v>
      </c>
      <c r="D69" s="602" t="s">
        <v>667</v>
      </c>
      <c r="E69" s="601" t="s">
        <v>550</v>
      </c>
      <c r="F69" s="601" t="s">
        <v>551</v>
      </c>
      <c r="G69" s="601">
        <v>239720</v>
      </c>
      <c r="H69" s="601">
        <v>3513</v>
      </c>
      <c r="I69" s="601">
        <v>404631</v>
      </c>
      <c r="J69" s="601">
        <v>221279</v>
      </c>
      <c r="K69" s="601">
        <v>381607</v>
      </c>
      <c r="L69" s="601" t="s">
        <v>23</v>
      </c>
    </row>
    <row r="70" spans="1:12" hidden="1">
      <c r="A70" s="601" t="s">
        <v>668</v>
      </c>
      <c r="B70" s="601" t="str">
        <f t="shared" si="1"/>
        <v xml:space="preserve">URBAN </v>
      </c>
      <c r="C70" s="601" t="str">
        <f>MID(Table3[[#This Row],[Statement Code]],FIND("- ",Table3[[#This Row],[Statement Code]])+2,100)</f>
        <v>PROPERTY, PLANT &amp; EQUIP - NET</v>
      </c>
      <c r="D70" s="602" t="s">
        <v>669</v>
      </c>
      <c r="E70" s="601" t="s">
        <v>550</v>
      </c>
      <c r="F70" s="601" t="s">
        <v>551</v>
      </c>
      <c r="G70" s="601">
        <v>2060563</v>
      </c>
      <c r="H70" s="601">
        <v>2082184</v>
      </c>
      <c r="I70" s="601">
        <v>2145340</v>
      </c>
      <c r="J70" s="601">
        <v>2147171</v>
      </c>
      <c r="K70" s="601">
        <v>2206937</v>
      </c>
      <c r="L70" s="601" t="s">
        <v>23</v>
      </c>
    </row>
    <row r="71" spans="1:12" hidden="1">
      <c r="A71" s="601" t="s">
        <v>670</v>
      </c>
      <c r="B71" s="601" t="str">
        <f t="shared" si="1"/>
        <v xml:space="preserve">URBAN </v>
      </c>
      <c r="C71" s="601" t="str">
        <f>MID(Table3[[#This Row],[Statement Code]],FIND("- ",Table3[[#This Row],[Statement Code]])+2,100)</f>
        <v>RECEIVABLES(NET)</v>
      </c>
      <c r="D71" s="602" t="s">
        <v>671</v>
      </c>
      <c r="E71" s="601" t="s">
        <v>550</v>
      </c>
      <c r="F71" s="601" t="s">
        <v>551</v>
      </c>
      <c r="G71" s="601">
        <v>88288</v>
      </c>
      <c r="H71" s="601">
        <v>89952</v>
      </c>
      <c r="I71" s="601">
        <v>63760</v>
      </c>
      <c r="J71" s="601">
        <v>70339</v>
      </c>
      <c r="K71" s="601">
        <v>67008</v>
      </c>
      <c r="L71" s="601" t="s">
        <v>23</v>
      </c>
    </row>
    <row r="72" spans="1:12">
      <c r="A72" s="601" t="s">
        <v>672</v>
      </c>
      <c r="B72" s="601" t="str">
        <f t="shared" si="1"/>
        <v xml:space="preserve">URBAN </v>
      </c>
      <c r="C72" s="601" t="str">
        <f>MID(Table3[[#This Row],[Statement Code]],FIND("- ",Table3[[#This Row],[Statement Code]])+2,100)</f>
        <v>SELLING, GENERAL &amp; ADMINISTRAT</v>
      </c>
      <c r="D72" s="602" t="s">
        <v>673</v>
      </c>
      <c r="E72" s="601" t="s">
        <v>550</v>
      </c>
      <c r="F72" s="601" t="s">
        <v>551</v>
      </c>
      <c r="G72" s="601">
        <v>993990</v>
      </c>
      <c r="H72" s="601">
        <v>857934</v>
      </c>
      <c r="I72" s="601">
        <v>1085384</v>
      </c>
      <c r="J72" s="601">
        <v>1200593</v>
      </c>
      <c r="K72" s="601">
        <v>1339205</v>
      </c>
      <c r="L72" s="601" t="s">
        <v>23</v>
      </c>
    </row>
    <row r="73" spans="1:12" hidden="1">
      <c r="A73" s="601" t="s">
        <v>674</v>
      </c>
      <c r="B73" s="601" t="str">
        <f t="shared" si="1"/>
        <v xml:space="preserve">URBAN </v>
      </c>
      <c r="C73" s="601" t="str">
        <f>MID(Table3[[#This Row],[Statement Code]],FIND("- ",Table3[[#This Row],[Statement Code]])+2,100)</f>
        <v>SHORT TERM DEBT &amp; CURRENT PORT</v>
      </c>
      <c r="D73" s="602" t="s">
        <v>675</v>
      </c>
      <c r="E73" s="601" t="s">
        <v>550</v>
      </c>
      <c r="F73" s="601" t="s">
        <v>551</v>
      </c>
      <c r="G73" s="601">
        <v>0</v>
      </c>
      <c r="H73" s="601">
        <v>0</v>
      </c>
      <c r="I73" s="601">
        <v>0</v>
      </c>
      <c r="J73" s="601">
        <v>12433</v>
      </c>
      <c r="K73" s="601">
        <v>13566</v>
      </c>
      <c r="L73" s="601" t="s">
        <v>23</v>
      </c>
    </row>
    <row r="74" spans="1:12">
      <c r="A74" s="601" t="s">
        <v>676</v>
      </c>
      <c r="B74" s="601" t="str">
        <f t="shared" si="1"/>
        <v xml:space="preserve">URBAN </v>
      </c>
      <c r="C74" s="601" t="str">
        <f>MID(Table3[[#This Row],[Statement Code]],FIND("- ",Table3[[#This Row],[Statement Code]])+2,100)</f>
        <v>TOTAL ASSETS</v>
      </c>
      <c r="D74" s="602" t="s">
        <v>677</v>
      </c>
      <c r="E74" s="601" t="s">
        <v>550</v>
      </c>
      <c r="F74" s="601" t="s">
        <v>551</v>
      </c>
      <c r="G74" s="601">
        <v>3211055</v>
      </c>
      <c r="H74" s="601">
        <v>3429178</v>
      </c>
      <c r="I74" s="601">
        <v>3654644</v>
      </c>
      <c r="J74" s="601">
        <v>3487734</v>
      </c>
      <c r="K74" s="601">
        <v>3803592</v>
      </c>
      <c r="L74" s="601" t="s">
        <v>23</v>
      </c>
    </row>
    <row r="75" spans="1:12" hidden="1">
      <c r="A75" s="601" t="s">
        <v>678</v>
      </c>
      <c r="B75" s="601" t="str">
        <f t="shared" si="1"/>
        <v xml:space="preserve">URBAN </v>
      </c>
      <c r="C75" s="601" t="str">
        <f>MID(Table3[[#This Row],[Statement Code]],FIND("- ",Table3[[#This Row],[Statement Code]])+2,100)</f>
        <v>TOTAL CAPITAL</v>
      </c>
      <c r="D75" s="602" t="s">
        <v>679</v>
      </c>
      <c r="E75" s="601" t="s">
        <v>550</v>
      </c>
      <c r="F75" s="601" t="s">
        <v>551</v>
      </c>
      <c r="G75" s="601">
        <v>1455355</v>
      </c>
      <c r="H75" s="601">
        <v>1477358</v>
      </c>
      <c r="I75" s="601">
        <v>1745740</v>
      </c>
      <c r="J75" s="601">
        <v>1792683</v>
      </c>
      <c r="K75" s="601">
        <v>2112540</v>
      </c>
      <c r="L75" s="601" t="s">
        <v>23</v>
      </c>
    </row>
    <row r="76" spans="1:12">
      <c r="A76" s="601" t="s">
        <v>680</v>
      </c>
      <c r="B76" s="601" t="str">
        <f t="shared" si="1"/>
        <v xml:space="preserve">URBAN </v>
      </c>
      <c r="C76" s="601" t="str">
        <f>MID(Table3[[#This Row],[Statement Code]],FIND("- ",Table3[[#This Row],[Statement Code]])+2,100)</f>
        <v>TOTAL DEBT</v>
      </c>
      <c r="D76" s="602" t="s">
        <v>681</v>
      </c>
      <c r="E76" s="601" t="s">
        <v>550</v>
      </c>
      <c r="F76" s="601" t="s">
        <v>551</v>
      </c>
      <c r="G76" s="601">
        <v>0</v>
      </c>
      <c r="H76" s="601">
        <v>0</v>
      </c>
      <c r="I76" s="601">
        <v>0</v>
      </c>
      <c r="J76" s="601">
        <v>12433</v>
      </c>
      <c r="K76" s="601">
        <v>13566</v>
      </c>
      <c r="L76" s="601" t="s">
        <v>23</v>
      </c>
    </row>
    <row r="77" spans="1:12" hidden="1">
      <c r="A77" s="601" t="s">
        <v>682</v>
      </c>
      <c r="B77" s="601" t="str">
        <f t="shared" si="1"/>
        <v xml:space="preserve">URBAN </v>
      </c>
      <c r="C77" s="601" t="str">
        <f>MID(Table3[[#This Row],[Statement Code]],FIND("- ",Table3[[#This Row],[Statement Code]])+2,100)</f>
        <v>TOTAL INTANGIBLE OT ASSETS-NET</v>
      </c>
      <c r="D77" s="602" t="s">
        <v>683</v>
      </c>
      <c r="E77" s="601" t="s">
        <v>550</v>
      </c>
      <c r="F77" s="601" t="s">
        <v>551</v>
      </c>
      <c r="G77" s="601">
        <v>0</v>
      </c>
      <c r="H77" s="601">
        <v>0</v>
      </c>
      <c r="I77" s="601">
        <v>0</v>
      </c>
      <c r="J77" s="601">
        <v>0</v>
      </c>
      <c r="K77" s="601">
        <v>0</v>
      </c>
      <c r="L77" s="601" t="s">
        <v>23</v>
      </c>
    </row>
    <row r="78" spans="1:12">
      <c r="A78" s="601" t="s">
        <v>684</v>
      </c>
      <c r="B78" s="601" t="str">
        <f t="shared" si="1"/>
        <v xml:space="preserve">URBAN </v>
      </c>
      <c r="C78" s="601" t="str">
        <f>MID(Table3[[#This Row],[Statement Code]],FIND("- ",Table3[[#This Row],[Statement Code]])+2,100)</f>
        <v>TOTAL LIABILITIES</v>
      </c>
      <c r="D78" s="602" t="s">
        <v>685</v>
      </c>
      <c r="E78" s="601" t="s">
        <v>550</v>
      </c>
      <c r="F78" s="601" t="s">
        <v>551</v>
      </c>
      <c r="G78" s="601">
        <v>1755700</v>
      </c>
      <c r="H78" s="601">
        <v>1951820</v>
      </c>
      <c r="I78" s="601">
        <v>1908904</v>
      </c>
      <c r="J78" s="601">
        <v>1695051</v>
      </c>
      <c r="K78" s="601">
        <v>1691052</v>
      </c>
      <c r="L78" s="601" t="s">
        <v>23</v>
      </c>
    </row>
    <row r="79" spans="1:12" hidden="1">
      <c r="A79" s="601" t="s">
        <v>686</v>
      </c>
      <c r="B79" s="601" t="str">
        <f t="shared" si="1"/>
        <v xml:space="preserve">URBAN </v>
      </c>
      <c r="C79" s="601" t="str">
        <f>MID(Table3[[#This Row],[Statement Code]],FIND("- ",Table3[[#This Row],[Statement Code]])+2,100)</f>
        <v>TOTAL LIABILITIES &amp; SHAREHOLDE</v>
      </c>
      <c r="D79" s="602" t="s">
        <v>687</v>
      </c>
      <c r="E79" s="601" t="s">
        <v>550</v>
      </c>
      <c r="F79" s="601" t="s">
        <v>551</v>
      </c>
      <c r="G79" s="601">
        <v>3211055</v>
      </c>
      <c r="H79" s="601">
        <v>3429178</v>
      </c>
      <c r="I79" s="601">
        <v>3654644</v>
      </c>
      <c r="J79" s="601">
        <v>3487734</v>
      </c>
      <c r="K79" s="601">
        <v>3803592</v>
      </c>
      <c r="L79" s="601" t="s">
        <v>23</v>
      </c>
    </row>
    <row r="80" spans="1:12" hidden="1">
      <c r="A80" s="601" t="s">
        <v>688</v>
      </c>
      <c r="B80" s="601" t="str">
        <f t="shared" si="1"/>
        <v xml:space="preserve">URBAN </v>
      </c>
      <c r="C80" s="601" t="str">
        <f>MID(Table3[[#This Row],[Statement Code]],FIND("- ",Table3[[#This Row],[Statement Code]])+2,100)</f>
        <v>TOTAL SHAREHOLDERS EQUITY</v>
      </c>
      <c r="D80" s="602" t="s">
        <v>689</v>
      </c>
      <c r="E80" s="601" t="s">
        <v>550</v>
      </c>
      <c r="F80" s="601" t="s">
        <v>551</v>
      </c>
      <c r="G80" s="601">
        <v>1455355</v>
      </c>
      <c r="H80" s="601">
        <v>1477358</v>
      </c>
      <c r="I80" s="601">
        <v>1745740</v>
      </c>
      <c r="J80" s="601">
        <v>1792683</v>
      </c>
      <c r="K80" s="601">
        <v>2112540</v>
      </c>
      <c r="L80" s="601" t="s">
        <v>23</v>
      </c>
    </row>
    <row r="81" spans="1:12" hidden="1">
      <c r="A81" s="601" t="s">
        <v>690</v>
      </c>
      <c r="B81" s="601" t="str">
        <f t="shared" si="1"/>
        <v xml:space="preserve">URBAN </v>
      </c>
      <c r="C81" s="601" t="str">
        <f>MID(Table3[[#This Row],[Statement Code]],FIND("- ",Table3[[#This Row],[Statement Code]])+2,100)</f>
        <v>WORKING CAPITAL</v>
      </c>
      <c r="D81" s="602" t="s">
        <v>691</v>
      </c>
      <c r="E81" s="601" t="s">
        <v>550</v>
      </c>
      <c r="F81" s="601" t="s">
        <v>551</v>
      </c>
      <c r="G81" s="601">
        <v>414626</v>
      </c>
      <c r="H81" s="601">
        <v>317200</v>
      </c>
      <c r="I81" s="601">
        <v>304274</v>
      </c>
      <c r="J81" s="601">
        <v>347345</v>
      </c>
      <c r="K81" s="601">
        <v>288298</v>
      </c>
      <c r="L81" s="601" t="s">
        <v>23</v>
      </c>
    </row>
    <row r="82" spans="1:12" hidden="1">
      <c r="A82" s="601" t="s">
        <v>692</v>
      </c>
      <c r="B82" s="601" t="str">
        <f t="shared" si="1"/>
        <v xml:space="preserve">URBAN </v>
      </c>
      <c r="C82" s="601" t="str">
        <f>MID(Table3[[#This Row],[Statement Code]],FIND("- ",Table3[[#This Row],[Statement Code]])+2,100)</f>
        <v>BK VAL PS 12M FWD</v>
      </c>
      <c r="D82" s="602" t="s">
        <v>693</v>
      </c>
      <c r="E82" s="601" t="s">
        <v>550</v>
      </c>
      <c r="F82" s="601" t="s">
        <v>551</v>
      </c>
      <c r="G82" s="601">
        <v>17.190000000000001</v>
      </c>
      <c r="H82" s="601">
        <v>16.38</v>
      </c>
      <c r="I82" s="601">
        <v>20.88</v>
      </c>
      <c r="J82" s="601">
        <v>21.95</v>
      </c>
      <c r="K82" s="601">
        <v>25.72</v>
      </c>
      <c r="L82" s="601">
        <v>30.61</v>
      </c>
    </row>
    <row r="83" spans="1:12" hidden="1">
      <c r="A83" s="601" t="s">
        <v>694</v>
      </c>
      <c r="B83" s="601" t="str">
        <f t="shared" si="1"/>
        <v xml:space="preserve">URBAN </v>
      </c>
      <c r="C83" s="601" t="str">
        <f>MID(Table3[[#This Row],[Statement Code]],FIND("- ",Table3[[#This Row],[Statement Code]])+2,100)</f>
        <v>EV 12M FWD</v>
      </c>
      <c r="D83" s="602" t="s">
        <v>695</v>
      </c>
      <c r="E83" s="601" t="s">
        <v>550</v>
      </c>
      <c r="F83" s="601" t="s">
        <v>551</v>
      </c>
      <c r="G83" s="601">
        <v>1621876</v>
      </c>
      <c r="H83" s="601">
        <v>2322130</v>
      </c>
      <c r="I83" s="601">
        <v>3604913</v>
      </c>
      <c r="J83" s="601">
        <v>1906800</v>
      </c>
      <c r="K83" s="601">
        <v>2933193</v>
      </c>
      <c r="L83" s="601">
        <v>3455546</v>
      </c>
    </row>
    <row r="84" spans="1:12" hidden="1">
      <c r="A84" s="601" t="s">
        <v>696</v>
      </c>
      <c r="B84" s="601" t="str">
        <f t="shared" si="1"/>
        <v xml:space="preserve">URBAN </v>
      </c>
      <c r="C84" s="601" t="str">
        <f>MID(Table3[[#This Row],[Statement Code]],FIND("- ",Table3[[#This Row],[Statement Code]])+2,100)</f>
        <v>NET INCOME 12M FWD</v>
      </c>
      <c r="D84" s="602" t="s">
        <v>697</v>
      </c>
      <c r="E84" s="601" t="s">
        <v>550</v>
      </c>
      <c r="F84" s="601" t="s">
        <v>551</v>
      </c>
      <c r="G84" s="601">
        <v>261223.4</v>
      </c>
      <c r="H84" s="601">
        <v>103476.7</v>
      </c>
      <c r="I84" s="601">
        <v>312893.3</v>
      </c>
      <c r="J84" s="601">
        <v>192280</v>
      </c>
      <c r="K84" s="601">
        <v>305456.8</v>
      </c>
      <c r="L84" s="601">
        <v>352891.1</v>
      </c>
    </row>
    <row r="85" spans="1:12" hidden="1">
      <c r="A85" s="601" t="s">
        <v>698</v>
      </c>
      <c r="B85" s="601" t="str">
        <f t="shared" si="1"/>
        <v xml:space="preserve">URBAN </v>
      </c>
      <c r="C85" s="601" t="str">
        <f>MID(Table3[[#This Row],[Statement Code]],FIND("- ",Table3[[#This Row],[Statement Code]])+2,100)</f>
        <v>PRETAX PRF 12M FWD</v>
      </c>
      <c r="D85" s="602" t="s">
        <v>699</v>
      </c>
      <c r="E85" s="601" t="s">
        <v>550</v>
      </c>
      <c r="F85" s="601" t="s">
        <v>551</v>
      </c>
      <c r="G85" s="601">
        <v>351468.3</v>
      </c>
      <c r="H85" s="601">
        <v>145360</v>
      </c>
      <c r="I85" s="601">
        <v>416333.3</v>
      </c>
      <c r="J85" s="601">
        <v>249043.3</v>
      </c>
      <c r="K85" s="601">
        <v>408193.4</v>
      </c>
      <c r="L85" s="601">
        <v>466499.8</v>
      </c>
    </row>
    <row r="86" spans="1:12" hidden="1">
      <c r="A86" s="601" t="s">
        <v>700</v>
      </c>
      <c r="B86" s="601" t="str">
        <f t="shared" si="1"/>
        <v xml:space="preserve">URBAN </v>
      </c>
      <c r="C86" s="601" t="str">
        <f>MID(Table3[[#This Row],[Statement Code]],FIND("- ",Table3[[#This Row],[Statement Code]])+2,100)</f>
        <v>ROE 12M FWD</v>
      </c>
      <c r="D86" s="602" t="s">
        <v>701</v>
      </c>
      <c r="E86" s="601" t="s">
        <v>550</v>
      </c>
      <c r="F86" s="601" t="s">
        <v>551</v>
      </c>
      <c r="G86" s="601">
        <v>16.36</v>
      </c>
      <c r="H86" s="601">
        <v>7</v>
      </c>
      <c r="I86" s="601">
        <v>16.09</v>
      </c>
      <c r="J86" s="601">
        <v>10.39</v>
      </c>
      <c r="K86" s="601">
        <v>14.36</v>
      </c>
      <c r="L86" s="601">
        <v>14.37</v>
      </c>
    </row>
    <row r="87" spans="1:12" hidden="1">
      <c r="A87" s="601" t="s">
        <v>702</v>
      </c>
      <c r="B87" s="601" t="str">
        <f t="shared" si="1"/>
        <v xml:space="preserve">URBAN </v>
      </c>
      <c r="C87" s="601" t="str">
        <f>MID(Table3[[#This Row],[Statement Code]],FIND("- ",Table3[[#This Row],[Statement Code]])+2,100)</f>
        <v>SALES 12M FWD</v>
      </c>
      <c r="D87" s="602" t="s">
        <v>703</v>
      </c>
      <c r="E87" s="601" t="s">
        <v>550</v>
      </c>
      <c r="F87" s="601" t="s">
        <v>551</v>
      </c>
      <c r="G87" s="601">
        <v>4104977</v>
      </c>
      <c r="H87" s="601">
        <v>3830753</v>
      </c>
      <c r="I87" s="601">
        <v>4661398</v>
      </c>
      <c r="J87" s="601">
        <v>4843141</v>
      </c>
      <c r="K87" s="601">
        <v>5265871</v>
      </c>
      <c r="L87" s="601">
        <v>5636102</v>
      </c>
    </row>
    <row r="88" spans="1:12" hidden="1">
      <c r="A88" s="601" t="s">
        <v>704</v>
      </c>
      <c r="B88" s="601" t="str">
        <f t="shared" si="1"/>
        <v xml:space="preserve">URBAN </v>
      </c>
      <c r="C88" s="601" t="str">
        <f>MID(Table3[[#This Row],[Statement Code]],FIND("- ",Table3[[#This Row],[Statement Code]])+2,100)</f>
        <v>DECREASE/INCREASE RECEIVABLES</v>
      </c>
      <c r="D88" s="602" t="s">
        <v>705</v>
      </c>
      <c r="E88" s="601" t="s">
        <v>550</v>
      </c>
      <c r="F88" s="601" t="s">
        <v>551</v>
      </c>
      <c r="G88" s="601">
        <v>-7825</v>
      </c>
      <c r="H88" s="601">
        <v>-1223</v>
      </c>
      <c r="I88" s="601">
        <v>26029</v>
      </c>
      <c r="J88" s="601">
        <v>-7103</v>
      </c>
      <c r="K88" s="601">
        <v>3708</v>
      </c>
      <c r="L88" s="601" t="s">
        <v>23</v>
      </c>
    </row>
    <row r="89" spans="1:12" hidden="1">
      <c r="A89" s="601" t="s">
        <v>706</v>
      </c>
      <c r="B89" s="601" t="str">
        <f t="shared" si="1"/>
        <v xml:space="preserve">URBAN </v>
      </c>
      <c r="C89" s="601" t="str">
        <f>MID(Table3[[#This Row],[Statement Code]],FIND("- ",Table3[[#This Row],[Statement Code]])+2,100)</f>
        <v>DECREASE/INCR OTH ASTS/LIABILT</v>
      </c>
      <c r="D89" s="602" t="s">
        <v>707</v>
      </c>
      <c r="E89" s="601" t="s">
        <v>550</v>
      </c>
      <c r="F89" s="601" t="s">
        <v>551</v>
      </c>
      <c r="G89" s="601">
        <v>-16308</v>
      </c>
      <c r="H89" s="601">
        <v>-25239</v>
      </c>
      <c r="I89" s="601">
        <v>-10209</v>
      </c>
      <c r="J89" s="601">
        <v>-31257</v>
      </c>
      <c r="K89" s="601">
        <v>-53532</v>
      </c>
      <c r="L89" s="601" t="s">
        <v>23</v>
      </c>
    </row>
    <row r="90" spans="1:12" hidden="1">
      <c r="A90" s="601" t="s">
        <v>708</v>
      </c>
      <c r="B90" s="601" t="str">
        <f t="shared" si="1"/>
        <v xml:space="preserve">URBAN </v>
      </c>
      <c r="C90" s="601" t="str">
        <f>MID(Table3[[#This Row],[Statement Code]],FIND("- ",Table3[[#This Row],[Statement Code]])+2,100)</f>
        <v>DECREASE/INCREASE INVENTORIES</v>
      </c>
      <c r="D90" s="602" t="s">
        <v>709</v>
      </c>
      <c r="E90" s="601" t="s">
        <v>550</v>
      </c>
      <c r="F90" s="601" t="s">
        <v>551</v>
      </c>
      <c r="G90" s="601">
        <v>-39101</v>
      </c>
      <c r="H90" s="601">
        <v>22381</v>
      </c>
      <c r="I90" s="601">
        <v>-181898</v>
      </c>
      <c r="J90" s="601">
        <v>-22286</v>
      </c>
      <c r="K90" s="601">
        <v>38785</v>
      </c>
      <c r="L90" s="601" t="s">
        <v>23</v>
      </c>
    </row>
    <row r="91" spans="1:12" hidden="1">
      <c r="A91" s="601" t="s">
        <v>710</v>
      </c>
      <c r="B91" s="601" t="str">
        <f t="shared" si="1"/>
        <v xml:space="preserve">URBAN </v>
      </c>
      <c r="C91" s="601" t="str">
        <f>MID(Table3[[#This Row],[Statement Code]],FIND("- ",Table3[[#This Row],[Statement Code]])+2,100)</f>
        <v>DECREASE IN INVESTMENTS</v>
      </c>
      <c r="D91" s="602" t="s">
        <v>711</v>
      </c>
      <c r="E91" s="601" t="s">
        <v>550</v>
      </c>
      <c r="F91" s="601" t="s">
        <v>551</v>
      </c>
      <c r="G91" s="601">
        <v>428508</v>
      </c>
      <c r="H91" s="601">
        <v>396260</v>
      </c>
      <c r="I91" s="601">
        <v>280701</v>
      </c>
      <c r="J91" s="601">
        <v>276650</v>
      </c>
      <c r="K91" s="601">
        <v>347366</v>
      </c>
      <c r="L91" s="601" t="s">
        <v>23</v>
      </c>
    </row>
    <row r="92" spans="1:12" hidden="1">
      <c r="A92" s="601" t="s">
        <v>712</v>
      </c>
      <c r="B92" s="601" t="str">
        <f t="shared" si="1"/>
        <v xml:space="preserve">INDITEX </v>
      </c>
      <c r="C92" s="601" t="str">
        <f>MID(Table3[[#This Row],[Statement Code]],FIND("- ",Table3[[#This Row],[Statement Code]])+2,100)</f>
        <v>MARKET VALUE</v>
      </c>
      <c r="D92" s="602" t="s">
        <v>713</v>
      </c>
      <c r="E92" s="601" t="s">
        <v>714</v>
      </c>
      <c r="F92" s="601" t="s">
        <v>551</v>
      </c>
      <c r="G92" s="601">
        <v>90890.46</v>
      </c>
      <c r="H92" s="601">
        <v>92811.31</v>
      </c>
      <c r="I92" s="601">
        <v>116948.47</v>
      </c>
      <c r="J92" s="601">
        <v>69898.44</v>
      </c>
      <c r="K92" s="601">
        <v>118418.61</v>
      </c>
      <c r="L92" s="601">
        <v>176444.5</v>
      </c>
    </row>
    <row r="93" spans="1:12" hidden="1">
      <c r="A93" s="601" t="s">
        <v>715</v>
      </c>
      <c r="B93" s="601" t="str">
        <f t="shared" si="1"/>
        <v xml:space="preserve">INDITEX </v>
      </c>
      <c r="C93" s="601" t="str">
        <f>MID(Table3[[#This Row],[Statement Code]],FIND("- ",Table3[[#This Row],[Statement Code]])+2,100)</f>
        <v>PER</v>
      </c>
      <c r="D93" s="602" t="s">
        <v>716</v>
      </c>
      <c r="E93" s="601" t="s">
        <v>714</v>
      </c>
      <c r="F93" s="601" t="s">
        <v>717</v>
      </c>
      <c r="G93" s="601">
        <v>22.9</v>
      </c>
      <c r="H93" s="601">
        <v>41.3</v>
      </c>
      <c r="I93" s="601">
        <v>38.700000000000003</v>
      </c>
      <c r="J93" s="601">
        <v>18.5</v>
      </c>
      <c r="K93" s="601">
        <v>22.8</v>
      </c>
      <c r="L93" s="601">
        <v>28.1</v>
      </c>
    </row>
    <row r="94" spans="1:12" hidden="1">
      <c r="A94" s="601" t="s">
        <v>718</v>
      </c>
      <c r="B94" s="601" t="str">
        <f t="shared" si="1"/>
        <v xml:space="preserve">INDITEX </v>
      </c>
      <c r="C94" s="601" t="str">
        <f>MID(Table3[[#This Row],[Statement Code]],FIND("- ",Table3[[#This Row],[Statement Code]])+2,100)</f>
        <v>12MTH FORWARD EPS</v>
      </c>
      <c r="D94" s="602" t="s">
        <v>719</v>
      </c>
      <c r="E94" s="601" t="s">
        <v>714</v>
      </c>
      <c r="F94" s="601" t="s">
        <v>551</v>
      </c>
      <c r="G94" s="601">
        <v>1.39</v>
      </c>
      <c r="H94" s="601">
        <v>1.032</v>
      </c>
      <c r="I94" s="601">
        <v>1.4750000000000001</v>
      </c>
      <c r="J94" s="601">
        <v>1.3169999999999999</v>
      </c>
      <c r="K94" s="601">
        <v>1.865</v>
      </c>
      <c r="L94" s="601">
        <v>2.2610000000000001</v>
      </c>
    </row>
    <row r="95" spans="1:12" hidden="1">
      <c r="A95" s="601" t="s">
        <v>720</v>
      </c>
      <c r="B95" s="601" t="str">
        <f t="shared" si="1"/>
        <v xml:space="preserve">INDITEX </v>
      </c>
      <c r="C95" s="601" t="e">
        <f>MID(Table3[[#This Row],[Statement Code]],FIND("- ",Table3[[#This Row],[Statement Code]])+2,100)</f>
        <v>#VALUE!</v>
      </c>
      <c r="D95" s="602" t="s">
        <v>721</v>
      </c>
      <c r="E95" s="601" t="s">
        <v>714</v>
      </c>
      <c r="F95" s="601" t="s">
        <v>717</v>
      </c>
      <c r="G95" s="601">
        <v>4.7889999999999997</v>
      </c>
      <c r="H95" s="601">
        <v>3.6429999999999998</v>
      </c>
      <c r="I95" s="601">
        <v>4.1639999999999997</v>
      </c>
      <c r="J95" s="601">
        <v>5.9829999999999997</v>
      </c>
      <c r="K95" s="601">
        <v>4.88</v>
      </c>
      <c r="L95" s="601">
        <v>3.9929999999999999</v>
      </c>
    </row>
    <row r="96" spans="1:12" hidden="1">
      <c r="A96" s="601" t="s">
        <v>720</v>
      </c>
      <c r="B96" s="601" t="str">
        <f t="shared" si="1"/>
        <v xml:space="preserve">INDITEX </v>
      </c>
      <c r="C96" s="601" t="e">
        <f>MID(Table3[[#This Row],[Statement Code]],FIND("- ",Table3[[#This Row],[Statement Code]])+2,100)</f>
        <v>#VALUE!</v>
      </c>
      <c r="D96" s="602" t="s">
        <v>722</v>
      </c>
      <c r="E96" s="601" t="s">
        <v>714</v>
      </c>
      <c r="F96" s="601" t="s">
        <v>23</v>
      </c>
      <c r="G96" s="601">
        <v>14.698</v>
      </c>
      <c r="H96" s="601">
        <v>21.385000000000002</v>
      </c>
      <c r="I96" s="601">
        <v>19.209</v>
      </c>
      <c r="J96" s="601">
        <v>12.446999999999999</v>
      </c>
      <c r="K96" s="601">
        <v>15.398999999999999</v>
      </c>
      <c r="L96" s="601">
        <v>18.972000000000001</v>
      </c>
    </row>
    <row r="97" spans="1:12" hidden="1">
      <c r="A97" s="601" t="s">
        <v>720</v>
      </c>
      <c r="B97" s="601" t="str">
        <f t="shared" si="1"/>
        <v xml:space="preserve">INDITEX </v>
      </c>
      <c r="C97" s="601" t="e">
        <f>MID(Table3[[#This Row],[Statement Code]],FIND("- ",Table3[[#This Row],[Statement Code]])+2,100)</f>
        <v>#VALUE!</v>
      </c>
      <c r="D97" s="602" t="s">
        <v>723</v>
      </c>
      <c r="E97" s="601" t="s">
        <v>714</v>
      </c>
      <c r="F97" s="601" t="s">
        <v>23</v>
      </c>
      <c r="G97" s="601">
        <v>9.3529999999999998</v>
      </c>
      <c r="H97" s="601">
        <v>12.18</v>
      </c>
      <c r="I97" s="601">
        <v>12.531000000000001</v>
      </c>
      <c r="J97" s="601">
        <v>8.0169999999999995</v>
      </c>
      <c r="K97" s="601">
        <v>10.603999999999999</v>
      </c>
      <c r="L97" s="601">
        <v>11.007</v>
      </c>
    </row>
    <row r="98" spans="1:12" hidden="1">
      <c r="A98" s="601" t="s">
        <v>720</v>
      </c>
      <c r="B98" s="601" t="str">
        <f t="shared" si="1"/>
        <v xml:space="preserve">INDITEX </v>
      </c>
      <c r="C98" s="601" t="e">
        <f>MID(Table3[[#This Row],[Statement Code]],FIND("- ",Table3[[#This Row],[Statement Code]])+2,100)</f>
        <v>#VALUE!</v>
      </c>
      <c r="D98" s="602" t="s">
        <v>724</v>
      </c>
      <c r="E98" s="601" t="s">
        <v>714</v>
      </c>
      <c r="F98" s="601" t="s">
        <v>717</v>
      </c>
      <c r="G98" s="601">
        <v>4.3479999999999999</v>
      </c>
      <c r="H98" s="601">
        <v>4.3140000000000001</v>
      </c>
      <c r="I98" s="601">
        <v>4.8070000000000004</v>
      </c>
      <c r="J98" s="601">
        <v>6.3659999999999997</v>
      </c>
      <c r="K98" s="601">
        <v>5.32</v>
      </c>
      <c r="L98" s="601">
        <v>3.8490000000000002</v>
      </c>
    </row>
    <row r="99" spans="1:12" hidden="1">
      <c r="A99" s="601" t="s">
        <v>720</v>
      </c>
      <c r="B99" s="601" t="str">
        <f t="shared" si="1"/>
        <v xml:space="preserve">INDITEX </v>
      </c>
      <c r="C99" s="601" t="e">
        <f>MID(Table3[[#This Row],[Statement Code]],FIND("- ",Table3[[#This Row],[Statement Code]])+2,100)</f>
        <v>#VALUE!</v>
      </c>
      <c r="D99" s="602" t="s">
        <v>725</v>
      </c>
      <c r="E99" s="601" t="s">
        <v>714</v>
      </c>
      <c r="F99" s="601" t="s">
        <v>23</v>
      </c>
      <c r="G99" s="601">
        <v>2.6240000000000001</v>
      </c>
      <c r="H99" s="601">
        <v>3.044</v>
      </c>
      <c r="I99" s="601">
        <v>3.4049999999999998</v>
      </c>
      <c r="J99" s="601">
        <v>2.0720000000000001</v>
      </c>
      <c r="K99" s="601">
        <v>2.8159999999999998</v>
      </c>
      <c r="L99" s="601">
        <v>3.7549999999999999</v>
      </c>
    </row>
    <row r="100" spans="1:12" hidden="1">
      <c r="A100" s="601" t="s">
        <v>720</v>
      </c>
      <c r="B100" s="601" t="str">
        <f t="shared" si="1"/>
        <v xml:space="preserve">INDITEX </v>
      </c>
      <c r="C100" s="601" t="e">
        <f>MID(Table3[[#This Row],[Statement Code]],FIND("- ",Table3[[#This Row],[Statement Code]])+2,100)</f>
        <v>#VALUE!</v>
      </c>
      <c r="D100" s="602" t="s">
        <v>726</v>
      </c>
      <c r="E100" s="601" t="s">
        <v>714</v>
      </c>
      <c r="F100" s="601" t="s">
        <v>717</v>
      </c>
      <c r="G100" s="601">
        <v>-0.93300000000000005</v>
      </c>
      <c r="H100" s="601">
        <v>-1.085</v>
      </c>
      <c r="I100" s="601">
        <v>-1.032</v>
      </c>
      <c r="J100" s="601">
        <v>-1.123</v>
      </c>
      <c r="K100" s="601">
        <v>-1.113</v>
      </c>
      <c r="L100" s="601">
        <v>-0.71199999999999997</v>
      </c>
    </row>
    <row r="101" spans="1:12" hidden="1">
      <c r="A101" s="601" t="s">
        <v>720</v>
      </c>
      <c r="B101" s="601" t="str">
        <f t="shared" si="1"/>
        <v xml:space="preserve">INDITEX </v>
      </c>
      <c r="C101" s="601" t="e">
        <f>MID(Table3[[#This Row],[Statement Code]],FIND("- ",Table3[[#This Row],[Statement Code]])+2,100)</f>
        <v>#VALUE!</v>
      </c>
      <c r="D101" s="602" t="s">
        <v>727</v>
      </c>
      <c r="E101" s="601" t="s">
        <v>714</v>
      </c>
      <c r="F101" s="601" t="s">
        <v>717</v>
      </c>
      <c r="G101" s="601">
        <v>-0.10299999999999999</v>
      </c>
      <c r="H101" s="601">
        <v>-9.1999999999999998E-2</v>
      </c>
      <c r="I101" s="601">
        <v>-9.1999999999999998E-2</v>
      </c>
      <c r="J101" s="601">
        <v>-0.155</v>
      </c>
      <c r="K101" s="601">
        <v>-0.112</v>
      </c>
      <c r="L101" s="601">
        <v>-6.9000000000000006E-2</v>
      </c>
    </row>
    <row r="102" spans="1:12" hidden="1">
      <c r="A102" s="601" t="s">
        <v>720</v>
      </c>
      <c r="B102" s="601" t="str">
        <f t="shared" si="1"/>
        <v xml:space="preserve">INDITEX </v>
      </c>
      <c r="C102" s="601" t="e">
        <f>MID(Table3[[#This Row],[Statement Code]],FIND("- ",Table3[[#This Row],[Statement Code]])+2,100)</f>
        <v>#VALUE!</v>
      </c>
      <c r="D102" s="602" t="s">
        <v>728</v>
      </c>
      <c r="E102" s="601" t="s">
        <v>714</v>
      </c>
      <c r="F102" s="601" t="s">
        <v>717</v>
      </c>
      <c r="G102" s="601">
        <v>1.65</v>
      </c>
      <c r="H102" s="601">
        <v>1.61</v>
      </c>
      <c r="I102" s="601">
        <v>1.62</v>
      </c>
      <c r="J102" s="601">
        <v>1.68</v>
      </c>
      <c r="K102" s="601">
        <v>1.85</v>
      </c>
      <c r="L102" s="601">
        <v>2.02</v>
      </c>
    </row>
    <row r="103" spans="1:12" hidden="1">
      <c r="A103" s="601" t="s">
        <v>720</v>
      </c>
      <c r="B103" s="601" t="str">
        <f t="shared" si="1"/>
        <v xml:space="preserve">INDITEX </v>
      </c>
      <c r="C103" s="601" t="e">
        <f>MID(Table3[[#This Row],[Statement Code]],FIND("- ",Table3[[#This Row],[Statement Code]])+2,100)</f>
        <v>#VALUE!</v>
      </c>
      <c r="D103" s="602" t="s">
        <v>729</v>
      </c>
      <c r="E103" s="601" t="s">
        <v>714</v>
      </c>
      <c r="F103" s="601" t="s">
        <v>717</v>
      </c>
      <c r="G103" s="601">
        <v>1</v>
      </c>
      <c r="H103" s="601">
        <v>1</v>
      </c>
      <c r="I103" s="601">
        <v>1</v>
      </c>
      <c r="J103" s="601">
        <v>1</v>
      </c>
      <c r="K103" s="601">
        <v>1</v>
      </c>
      <c r="L103" s="601">
        <v>1</v>
      </c>
    </row>
    <row r="104" spans="1:12" hidden="1">
      <c r="A104" s="601" t="s">
        <v>720</v>
      </c>
      <c r="B104" s="601" t="str">
        <f t="shared" si="1"/>
        <v xml:space="preserve">INDITEX </v>
      </c>
      <c r="C104" s="601" t="e">
        <f>MID(Table3[[#This Row],[Statement Code]],FIND("- ",Table3[[#This Row],[Statement Code]])+2,100)</f>
        <v>#VALUE!</v>
      </c>
      <c r="D104" s="602" t="s">
        <v>730</v>
      </c>
      <c r="E104" s="601" t="s">
        <v>714</v>
      </c>
      <c r="F104" s="601" t="s">
        <v>717</v>
      </c>
      <c r="G104" s="601">
        <v>5.1449999999999996</v>
      </c>
      <c r="H104" s="601">
        <v>5.1630000000000003</v>
      </c>
      <c r="I104" s="601">
        <v>6.31</v>
      </c>
      <c r="J104" s="601">
        <v>4.2510000000000003</v>
      </c>
      <c r="K104" s="601">
        <v>5.9649999999999999</v>
      </c>
      <c r="L104" s="601">
        <v>7.74</v>
      </c>
    </row>
    <row r="105" spans="1:12">
      <c r="A105" s="601" t="s">
        <v>731</v>
      </c>
      <c r="B105" s="601" t="str">
        <f t="shared" si="1"/>
        <v xml:space="preserve">INDITEX </v>
      </c>
      <c r="C105" s="601" t="str">
        <f>MID(Table3[[#This Row],[Statement Code]],FIND("- ",Table3[[#This Row],[Statement Code]])+2,100)</f>
        <v>12MTH TRAILING EPS</v>
      </c>
      <c r="D105" s="602" t="s">
        <v>732</v>
      </c>
      <c r="E105" s="601" t="s">
        <v>714</v>
      </c>
      <c r="F105" s="601" t="s">
        <v>551</v>
      </c>
      <c r="G105" s="601">
        <v>1.292</v>
      </c>
      <c r="H105" s="601">
        <v>0.86599999999999999</v>
      </c>
      <c r="I105" s="601">
        <v>1.0409999999999999</v>
      </c>
      <c r="J105" s="601">
        <v>1.1910000000000001</v>
      </c>
      <c r="K105" s="601">
        <v>1.6539999999999999</v>
      </c>
      <c r="L105" s="601">
        <v>2.0470000000000002</v>
      </c>
    </row>
    <row r="106" spans="1:12" hidden="1">
      <c r="A106" s="601" t="s">
        <v>733</v>
      </c>
      <c r="B106" s="601" t="str">
        <f t="shared" si="1"/>
        <v xml:space="preserve">INDITEX </v>
      </c>
      <c r="C106" s="601" t="str">
        <f>MID(Table3[[#This Row],[Statement Code]],FIND("- ",Table3[[#This Row],[Statement Code]])+2,100)</f>
        <v>DIV.PER SHR.</v>
      </c>
      <c r="D106" s="602" t="s">
        <v>734</v>
      </c>
      <c r="E106" s="601" t="s">
        <v>714</v>
      </c>
      <c r="F106" s="601" t="s">
        <v>551</v>
      </c>
      <c r="G106" s="601">
        <v>1.02</v>
      </c>
      <c r="H106" s="601">
        <v>0.42</v>
      </c>
      <c r="I106" s="601">
        <v>0.62</v>
      </c>
      <c r="J106" s="601">
        <v>0.53</v>
      </c>
      <c r="K106" s="601">
        <v>1.19</v>
      </c>
      <c r="L106" s="601">
        <v>1.35</v>
      </c>
    </row>
    <row r="107" spans="1:12" hidden="1">
      <c r="A107" s="601" t="s">
        <v>720</v>
      </c>
      <c r="B107" s="601" t="str">
        <f t="shared" si="1"/>
        <v xml:space="preserve">INDITEX </v>
      </c>
      <c r="C107" s="601" t="e">
        <f>MID(Table3[[#This Row],[Statement Code]],FIND("- ",Table3[[#This Row],[Statement Code]])+2,100)</f>
        <v>#VALUE!</v>
      </c>
      <c r="D107" s="602" t="s">
        <v>735</v>
      </c>
      <c r="E107" s="601" t="s">
        <v>714</v>
      </c>
      <c r="F107" s="601" t="s">
        <v>717</v>
      </c>
      <c r="G107" s="601">
        <v>4.056</v>
      </c>
      <c r="H107" s="601">
        <v>3.3639999999999999</v>
      </c>
      <c r="I107" s="601">
        <v>3.468</v>
      </c>
      <c r="J107" s="601">
        <v>5.33</v>
      </c>
      <c r="K107" s="601">
        <v>4.1719999999999997</v>
      </c>
      <c r="L107" s="601">
        <v>3.5270000000000001</v>
      </c>
    </row>
    <row r="108" spans="1:12" hidden="1">
      <c r="A108" s="601" t="s">
        <v>718</v>
      </c>
      <c r="B108" s="601" t="str">
        <f t="shared" si="1"/>
        <v xml:space="preserve">INDITEX </v>
      </c>
      <c r="C108" s="601" t="str">
        <f>MID(Table3[[#This Row],[Statement Code]],FIND("- ",Table3[[#This Row],[Statement Code]])+2,100)</f>
        <v>12MTH FORWARD EPS</v>
      </c>
      <c r="D108" s="602" t="s">
        <v>719</v>
      </c>
      <c r="E108" s="601" t="s">
        <v>714</v>
      </c>
      <c r="F108" s="601" t="s">
        <v>551</v>
      </c>
      <c r="G108" s="601">
        <v>1.39</v>
      </c>
      <c r="H108" s="601">
        <v>1.032</v>
      </c>
      <c r="I108" s="601">
        <v>1.4750000000000001</v>
      </c>
      <c r="J108" s="601">
        <v>1.3169999999999999</v>
      </c>
      <c r="K108" s="601">
        <v>1.865</v>
      </c>
      <c r="L108" s="601">
        <v>2.2610000000000001</v>
      </c>
    </row>
    <row r="109" spans="1:12" hidden="1">
      <c r="A109" s="601" t="s">
        <v>715</v>
      </c>
      <c r="B109" s="601" t="str">
        <f t="shared" si="1"/>
        <v xml:space="preserve">INDITEX </v>
      </c>
      <c r="C109" s="601" t="str">
        <f>MID(Table3[[#This Row],[Statement Code]],FIND("- ",Table3[[#This Row],[Statement Code]])+2,100)</f>
        <v>PER</v>
      </c>
      <c r="D109" s="602" t="s">
        <v>716</v>
      </c>
      <c r="E109" s="601" t="s">
        <v>714</v>
      </c>
      <c r="F109" s="601" t="s">
        <v>717</v>
      </c>
      <c r="G109" s="601">
        <v>22.9</v>
      </c>
      <c r="H109" s="601">
        <v>41.3</v>
      </c>
      <c r="I109" s="601">
        <v>38.700000000000003</v>
      </c>
      <c r="J109" s="601">
        <v>18.5</v>
      </c>
      <c r="K109" s="601">
        <v>22.8</v>
      </c>
      <c r="L109" s="601">
        <v>28.1</v>
      </c>
    </row>
    <row r="110" spans="1:12" hidden="1">
      <c r="A110" s="601" t="s">
        <v>712</v>
      </c>
      <c r="B110" s="601" t="str">
        <f t="shared" si="1"/>
        <v xml:space="preserve">INDITEX </v>
      </c>
      <c r="C110" s="601" t="str">
        <f>MID(Table3[[#This Row],[Statement Code]],FIND("- ",Table3[[#This Row],[Statement Code]])+2,100)</f>
        <v>MARKET VALUE</v>
      </c>
      <c r="D110" s="602" t="s">
        <v>713</v>
      </c>
      <c r="E110" s="601" t="s">
        <v>714</v>
      </c>
      <c r="F110" s="601" t="s">
        <v>551</v>
      </c>
      <c r="G110" s="601">
        <v>90890.46</v>
      </c>
      <c r="H110" s="601">
        <v>92811.31</v>
      </c>
      <c r="I110" s="601">
        <v>116948.47</v>
      </c>
      <c r="J110" s="601">
        <v>69898.44</v>
      </c>
      <c r="K110" s="601">
        <v>118418.61</v>
      </c>
      <c r="L110" s="601">
        <v>176444.5</v>
      </c>
    </row>
    <row r="111" spans="1:12" hidden="1">
      <c r="A111" s="601" t="s">
        <v>736</v>
      </c>
      <c r="B111" s="601" t="str">
        <f t="shared" si="1"/>
        <v xml:space="preserve">INDITEX </v>
      </c>
      <c r="C111" s="601" t="str">
        <f>MID(Table3[[#This Row],[Statement Code]],FIND("- ",Table3[[#This Row],[Statement Code]])+2,100)</f>
        <v>EARNINGS PER SHR</v>
      </c>
      <c r="D111" s="602" t="s">
        <v>737</v>
      </c>
      <c r="E111" s="601" t="s">
        <v>714</v>
      </c>
      <c r="F111" s="601" t="s">
        <v>551</v>
      </c>
      <c r="G111" s="601">
        <v>1.27</v>
      </c>
      <c r="H111" s="601">
        <v>0.72</v>
      </c>
      <c r="I111" s="601">
        <v>0.97</v>
      </c>
      <c r="J111" s="601">
        <v>1.21</v>
      </c>
      <c r="K111" s="601">
        <v>1.66</v>
      </c>
      <c r="L111" s="601">
        <v>2.0099999999999998</v>
      </c>
    </row>
    <row r="112" spans="1:12" hidden="1">
      <c r="A112" s="601" t="s">
        <v>720</v>
      </c>
      <c r="B112" s="601" t="str">
        <f t="shared" si="1"/>
        <v xml:space="preserve">INDITEX </v>
      </c>
      <c r="C112" s="601" t="e">
        <f>MID(Table3[[#This Row],[Statement Code]],FIND("- ",Table3[[#This Row],[Statement Code]])+2,100)</f>
        <v>#VALUE!</v>
      </c>
      <c r="D112" s="602" t="s">
        <v>738</v>
      </c>
      <c r="E112" s="601" t="s">
        <v>714</v>
      </c>
      <c r="F112" s="601" t="s">
        <v>23</v>
      </c>
      <c r="G112" s="601">
        <v>0.73</v>
      </c>
      <c r="H112" s="601">
        <v>0.83</v>
      </c>
      <c r="I112" s="601">
        <v>0.83</v>
      </c>
      <c r="J112" s="601">
        <v>0.86</v>
      </c>
      <c r="K112" s="601">
        <v>0.85</v>
      </c>
      <c r="L112" s="601">
        <v>0.85</v>
      </c>
    </row>
    <row r="113" spans="1:12" hidden="1">
      <c r="A113" s="601" t="s">
        <v>720</v>
      </c>
      <c r="B113" s="601" t="str">
        <f t="shared" si="1"/>
        <v xml:space="preserve">INDITEX </v>
      </c>
      <c r="C113" s="601" t="e">
        <f>MID(Table3[[#This Row],[Statement Code]],FIND("- ",Table3[[#This Row],[Statement Code]])+2,100)</f>
        <v>#VALUE!</v>
      </c>
      <c r="D113" s="602" t="s">
        <v>739</v>
      </c>
      <c r="E113" s="601" t="s">
        <v>714</v>
      </c>
      <c r="F113" s="601" t="s">
        <v>23</v>
      </c>
      <c r="G113" s="601">
        <v>0.1767</v>
      </c>
      <c r="H113" s="601">
        <v>0.27889999999999998</v>
      </c>
      <c r="I113" s="601">
        <v>0.29520000000000002</v>
      </c>
      <c r="J113" s="601">
        <v>0.31969999999999998</v>
      </c>
      <c r="K113" s="601">
        <v>0.32119999999999999</v>
      </c>
      <c r="L113" s="601">
        <v>0.31969999999999998</v>
      </c>
    </row>
    <row r="114" spans="1:12" hidden="1">
      <c r="A114" s="601" t="s">
        <v>740</v>
      </c>
      <c r="B114" s="601" t="str">
        <f t="shared" si="1"/>
        <v xml:space="preserve">INDUSTRI </v>
      </c>
      <c r="C114" s="601" t="str">
        <f>MID(Table3[[#This Row],[Statement Code]],FIND("- ",Table3[[#This Row],[Statement Code]])+2,100)</f>
        <v>ACCOUNTS PAYABLE</v>
      </c>
      <c r="D114" s="602" t="s">
        <v>741</v>
      </c>
      <c r="E114" s="601" t="s">
        <v>714</v>
      </c>
      <c r="F114" s="601" t="s">
        <v>551</v>
      </c>
      <c r="G114" s="601">
        <v>4141642</v>
      </c>
      <c r="H114" s="601">
        <v>4726013</v>
      </c>
      <c r="I114" s="601">
        <v>4032898</v>
      </c>
      <c r="J114" s="601">
        <v>4649987</v>
      </c>
      <c r="K114" s="601">
        <v>4851126</v>
      </c>
      <c r="L114" s="601">
        <v>5659132</v>
      </c>
    </row>
    <row r="115" spans="1:12" hidden="1">
      <c r="A115" s="601" t="s">
        <v>742</v>
      </c>
      <c r="B115" s="601" t="str">
        <f t="shared" si="1"/>
        <v xml:space="preserve">INDUSTRI </v>
      </c>
      <c r="C115" s="601" t="str">
        <f>MID(Table3[[#This Row],[Statement Code]],FIND("- ",Table3[[#This Row],[Statement Code]])+2,100)</f>
        <v>AMORTIZATION OF DEFERRED CHARG</v>
      </c>
      <c r="D115" s="602" t="s">
        <v>743</v>
      </c>
      <c r="E115" s="601" t="s">
        <v>714</v>
      </c>
      <c r="F115" s="601" t="s">
        <v>551</v>
      </c>
      <c r="G115" s="601">
        <v>0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</row>
    <row r="116" spans="1:12" hidden="1">
      <c r="A116" s="601" t="s">
        <v>744</v>
      </c>
      <c r="B116" s="601" t="str">
        <f t="shared" si="1"/>
        <v xml:space="preserve">INDUSTRI </v>
      </c>
      <c r="C116" s="601" t="str">
        <f>MID(Table3[[#This Row],[Statement Code]],FIND("- ",Table3[[#This Row],[Statement Code]])+2,100)</f>
        <v>AMORTIZATION-INTANGIBLE ASSETS</v>
      </c>
      <c r="D116" s="602" t="s">
        <v>745</v>
      </c>
      <c r="E116" s="601" t="s">
        <v>714</v>
      </c>
      <c r="F116" s="601" t="s">
        <v>551</v>
      </c>
      <c r="G116" s="601" t="s">
        <v>23</v>
      </c>
      <c r="H116" s="601" t="s">
        <v>23</v>
      </c>
      <c r="I116" s="601">
        <v>214791</v>
      </c>
      <c r="J116" s="601">
        <v>356071</v>
      </c>
      <c r="K116" s="601">
        <v>345899</v>
      </c>
      <c r="L116" s="601">
        <v>429160</v>
      </c>
    </row>
    <row r="117" spans="1:12" hidden="1">
      <c r="A117" s="601" t="s">
        <v>746</v>
      </c>
      <c r="B117" s="601" t="str">
        <f t="shared" si="1"/>
        <v xml:space="preserve">INDUSTRI </v>
      </c>
      <c r="C117" s="601" t="str">
        <f>MID(Table3[[#This Row],[Statement Code]],FIND("- ",Table3[[#This Row],[Statement Code]])+2,100)</f>
        <v>AMORTIZATION OF INTANGIBLES</v>
      </c>
      <c r="D117" s="602" t="s">
        <v>747</v>
      </c>
      <c r="E117" s="601" t="s">
        <v>714</v>
      </c>
      <c r="F117" s="601" t="s">
        <v>551</v>
      </c>
      <c r="G117" s="601">
        <v>174734</v>
      </c>
      <c r="H117" s="601">
        <v>188566</v>
      </c>
      <c r="I117" s="601">
        <v>214791</v>
      </c>
      <c r="J117" s="601">
        <v>356071</v>
      </c>
      <c r="K117" s="601">
        <v>345899</v>
      </c>
      <c r="L117" s="601">
        <v>429160</v>
      </c>
    </row>
    <row r="118" spans="1:12" hidden="1">
      <c r="A118" s="601" t="s">
        <v>748</v>
      </c>
      <c r="B118" s="601" t="str">
        <f t="shared" si="1"/>
        <v xml:space="preserve">INDUSTRI </v>
      </c>
      <c r="C118" s="601" t="str">
        <f>MID(Table3[[#This Row],[Statement Code]],FIND("- ",Table3[[#This Row],[Statement Code]])+2,100)</f>
        <v>BOOK VALUE-OUT SHARES-FISCAL</v>
      </c>
      <c r="D118" s="602" t="s">
        <v>749</v>
      </c>
      <c r="E118" s="601" t="s">
        <v>714</v>
      </c>
      <c r="F118" s="601" t="s">
        <v>551</v>
      </c>
      <c r="G118" s="601">
        <v>5.2039999999999997</v>
      </c>
      <c r="H118" s="601">
        <v>5.6790000000000003</v>
      </c>
      <c r="I118" s="601">
        <v>5.4710000000000001</v>
      </c>
      <c r="J118" s="601">
        <v>5.07</v>
      </c>
      <c r="K118" s="601">
        <v>5.835</v>
      </c>
      <c r="L118" s="601">
        <v>6.6580000000000004</v>
      </c>
    </row>
    <row r="119" spans="1:12" hidden="1">
      <c r="A119" s="601" t="s">
        <v>750</v>
      </c>
      <c r="B119" s="601" t="str">
        <f t="shared" si="1"/>
        <v xml:space="preserve">INDUSTRI </v>
      </c>
      <c r="C119" s="601" t="str">
        <f>MID(Table3[[#This Row],[Statement Code]],FIND("- ",Table3[[#This Row],[Statement Code]])+2,100)</f>
        <v>BOOK VALUE PER SHARE</v>
      </c>
      <c r="D119" s="602" t="s">
        <v>751</v>
      </c>
      <c r="E119" s="601" t="s">
        <v>714</v>
      </c>
      <c r="F119" s="601" t="s">
        <v>551</v>
      </c>
      <c r="G119" s="601">
        <v>5.2039999999999997</v>
      </c>
      <c r="H119" s="601">
        <v>5.6790000000000003</v>
      </c>
      <c r="I119" s="601">
        <v>5.4710000000000001</v>
      </c>
      <c r="J119" s="601">
        <v>5.07</v>
      </c>
      <c r="K119" s="601">
        <v>5.835</v>
      </c>
      <c r="L119" s="601">
        <v>6.6580000000000004</v>
      </c>
    </row>
    <row r="120" spans="1:12">
      <c r="A120" s="601" t="s">
        <v>752</v>
      </c>
      <c r="B120" s="601" t="str">
        <f t="shared" si="1"/>
        <v xml:space="preserve">INDUSTRI </v>
      </c>
      <c r="C120" s="601" t="str">
        <f>MID(Table3[[#This Row],[Statement Code]],FIND("- ",Table3[[#This Row],[Statement Code]])+2,100)</f>
        <v>CAPITAL EXPENDITURES</v>
      </c>
      <c r="D120" s="602" t="s">
        <v>753</v>
      </c>
      <c r="E120" s="601" t="s">
        <v>714</v>
      </c>
      <c r="F120" s="601" t="s">
        <v>551</v>
      </c>
      <c r="G120" s="601">
        <v>1538324</v>
      </c>
      <c r="H120" s="601">
        <v>1083959</v>
      </c>
      <c r="I120" s="601">
        <v>548127</v>
      </c>
      <c r="J120" s="601">
        <v>668009</v>
      </c>
      <c r="K120" s="601">
        <v>1096414</v>
      </c>
      <c r="L120" s="601">
        <v>1555427</v>
      </c>
    </row>
    <row r="121" spans="1:12" hidden="1">
      <c r="A121" s="601" t="s">
        <v>754</v>
      </c>
      <c r="B121" s="601" t="str">
        <f t="shared" si="1"/>
        <v xml:space="preserve">INDUSTRI </v>
      </c>
      <c r="C121" s="601" t="str">
        <f>MID(Table3[[#This Row],[Statement Code]],FIND("- ",Table3[[#This Row],[Statement Code]])+2,100)</f>
        <v>CASH</v>
      </c>
      <c r="D121" s="602" t="s">
        <v>755</v>
      </c>
      <c r="E121" s="601" t="s">
        <v>714</v>
      </c>
      <c r="F121" s="601" t="s">
        <v>551</v>
      </c>
      <c r="G121" s="601">
        <v>5381370</v>
      </c>
      <c r="H121" s="601">
        <v>5668844</v>
      </c>
      <c r="I121" s="601">
        <v>8683172</v>
      </c>
      <c r="J121" s="601">
        <v>7042183</v>
      </c>
      <c r="K121" s="601">
        <v>5936864</v>
      </c>
      <c r="L121" s="601">
        <v>7790479</v>
      </c>
    </row>
    <row r="122" spans="1:12" hidden="1">
      <c r="A122" s="601" t="s">
        <v>756</v>
      </c>
      <c r="B122" s="601" t="str">
        <f t="shared" si="1"/>
        <v xml:space="preserve">INDUSTRI </v>
      </c>
      <c r="C122" s="601" t="str">
        <f>MID(Table3[[#This Row],[Statement Code]],FIND("- ",Table3[[#This Row],[Statement Code]])+2,100)</f>
        <v>CASH - GENERIC</v>
      </c>
      <c r="D122" s="602" t="s">
        <v>757</v>
      </c>
      <c r="E122" s="601" t="s">
        <v>714</v>
      </c>
      <c r="F122" s="601" t="s">
        <v>551</v>
      </c>
      <c r="G122" s="601">
        <v>7536794</v>
      </c>
      <c r="H122" s="601">
        <v>9621618</v>
      </c>
      <c r="I122" s="601">
        <v>8892094</v>
      </c>
      <c r="J122" s="601">
        <v>9445412</v>
      </c>
      <c r="K122" s="601">
        <v>10773044</v>
      </c>
      <c r="L122" s="601">
        <v>12706920</v>
      </c>
    </row>
    <row r="123" spans="1:12">
      <c r="A123" s="601" t="s">
        <v>758</v>
      </c>
      <c r="B123" s="601" t="str">
        <f t="shared" si="1"/>
        <v xml:space="preserve">INDUSTRI </v>
      </c>
      <c r="C123" s="601" t="str">
        <f>MID(Table3[[#This Row],[Statement Code]],FIND("- ",Table3[[#This Row],[Statement Code]])+2,100)</f>
        <v>CASH &amp; SHORT TERM INVESTMENTS</v>
      </c>
      <c r="D123" s="602" t="s">
        <v>759</v>
      </c>
      <c r="E123" s="601" t="s">
        <v>714</v>
      </c>
      <c r="F123" s="601" t="s">
        <v>551</v>
      </c>
      <c r="G123" s="601">
        <v>7536794</v>
      </c>
      <c r="H123" s="601">
        <v>9621618</v>
      </c>
      <c r="I123" s="601">
        <v>8892094</v>
      </c>
      <c r="J123" s="601">
        <v>9445412</v>
      </c>
      <c r="K123" s="601">
        <v>10773044</v>
      </c>
      <c r="L123" s="601">
        <v>12706920</v>
      </c>
    </row>
    <row r="124" spans="1:12" hidden="1">
      <c r="A124" s="601" t="s">
        <v>760</v>
      </c>
      <c r="B124" s="601" t="str">
        <f t="shared" si="1"/>
        <v xml:space="preserve">INDUSTRI </v>
      </c>
      <c r="C124" s="601" t="str">
        <f>MID(Table3[[#This Row],[Statement Code]],FIND("- ",Table3[[#This Row],[Statement Code]])+2,100)</f>
        <v>CASH DIVIDENDS PAID - TOTAL</v>
      </c>
      <c r="D124" s="602" t="s">
        <v>761</v>
      </c>
      <c r="E124" s="601" t="s">
        <v>714</v>
      </c>
      <c r="F124" s="601" t="s">
        <v>551</v>
      </c>
      <c r="G124" s="601">
        <v>2582306</v>
      </c>
      <c r="H124" s="601">
        <v>3250691</v>
      </c>
      <c r="I124" s="601">
        <v>1279354</v>
      </c>
      <c r="J124" s="601">
        <v>2198613</v>
      </c>
      <c r="K124" s="601">
        <v>3110955</v>
      </c>
      <c r="L124" s="601">
        <v>4162631</v>
      </c>
    </row>
    <row r="125" spans="1:12" hidden="1">
      <c r="A125" s="601" t="s">
        <v>762</v>
      </c>
      <c r="B125" s="601" t="str">
        <f t="shared" si="1"/>
        <v xml:space="preserve">INDUSTRI </v>
      </c>
      <c r="C125" s="601" t="str">
        <f>MID(Table3[[#This Row],[Statement Code]],FIND("- ",Table3[[#This Row],[Statement Code]])+2,100)</f>
        <v>CASH FLOW PER SHARE</v>
      </c>
      <c r="D125" s="602" t="s">
        <v>763</v>
      </c>
      <c r="E125" s="601" t="s">
        <v>714</v>
      </c>
      <c r="F125" s="601" t="s">
        <v>551</v>
      </c>
      <c r="G125" s="601">
        <v>1.5549999999999999</v>
      </c>
      <c r="H125" s="601">
        <v>2.5489999999999999</v>
      </c>
      <c r="I125" s="601">
        <v>1.456</v>
      </c>
      <c r="J125" s="601">
        <v>2.1040000000000001</v>
      </c>
      <c r="K125" s="601">
        <v>2.5190000000000001</v>
      </c>
      <c r="L125" s="601">
        <v>3.1160000000000001</v>
      </c>
    </row>
    <row r="126" spans="1:12" hidden="1">
      <c r="A126" s="601" t="s">
        <v>764</v>
      </c>
      <c r="B126" s="601" t="str">
        <f t="shared" si="1"/>
        <v xml:space="preserve">INDUSTRI </v>
      </c>
      <c r="C126" s="601" t="str">
        <f>MID(Table3[[#This Row],[Statement Code]],FIND("- ",Table3[[#This Row],[Statement Code]])+2,100)</f>
        <v>CASH FLOW PER SHARE - FIS YR</v>
      </c>
      <c r="D126" s="602" t="s">
        <v>765</v>
      </c>
      <c r="E126" s="601" t="s">
        <v>714</v>
      </c>
      <c r="F126" s="601" t="s">
        <v>551</v>
      </c>
      <c r="G126" s="601">
        <v>1.5549999999999999</v>
      </c>
      <c r="H126" s="601">
        <v>2.5489999999999999</v>
      </c>
      <c r="I126" s="601">
        <v>1.456</v>
      </c>
      <c r="J126" s="601">
        <v>2.1040000000000001</v>
      </c>
      <c r="K126" s="601">
        <v>2.5190000000000001</v>
      </c>
      <c r="L126" s="601">
        <v>3.1160000000000001</v>
      </c>
    </row>
    <row r="127" spans="1:12" hidden="1">
      <c r="A127" s="601" t="s">
        <v>766</v>
      </c>
      <c r="B127" s="601" t="str">
        <f t="shared" si="1"/>
        <v xml:space="preserve">INDUSTRI </v>
      </c>
      <c r="C127" s="601" t="str">
        <f>MID(Table3[[#This Row],[Statement Code]],FIND("- ",Table3[[#This Row],[Statement Code]])+2,100)</f>
        <v>COMMON DIVIDENDS (CASH)</v>
      </c>
      <c r="D127" s="602" t="s">
        <v>767</v>
      </c>
      <c r="E127" s="601" t="s">
        <v>714</v>
      </c>
      <c r="F127" s="601" t="s">
        <v>551</v>
      </c>
      <c r="G127" s="601">
        <v>2582306</v>
      </c>
      <c r="H127" s="601">
        <v>3250691</v>
      </c>
      <c r="I127" s="601">
        <v>1279354</v>
      </c>
      <c r="J127" s="601">
        <v>2198613</v>
      </c>
      <c r="K127" s="601">
        <v>3110955</v>
      </c>
      <c r="L127" s="601">
        <v>4162631</v>
      </c>
    </row>
    <row r="128" spans="1:12" hidden="1">
      <c r="A128" s="601" t="s">
        <v>768</v>
      </c>
      <c r="B128" s="601" t="str">
        <f t="shared" si="1"/>
        <v xml:space="preserve">INDUSTRI </v>
      </c>
      <c r="C128" s="601" t="str">
        <f>MID(Table3[[#This Row],[Statement Code]],FIND("- ",Table3[[#This Row],[Statement Code]])+2,100)</f>
        <v>COMMON SHAREHOLDERS' EQUITY</v>
      </c>
      <c r="D128" s="602" t="s">
        <v>769</v>
      </c>
      <c r="E128" s="601" t="s">
        <v>714</v>
      </c>
      <c r="F128" s="601" t="s">
        <v>551</v>
      </c>
      <c r="G128" s="601">
        <v>16203830</v>
      </c>
      <c r="H128" s="601">
        <v>17686082</v>
      </c>
      <c r="I128" s="601">
        <v>17042398</v>
      </c>
      <c r="J128" s="601">
        <v>15780468</v>
      </c>
      <c r="K128" s="601">
        <v>18157559</v>
      </c>
      <c r="L128" s="601">
        <v>20726433</v>
      </c>
    </row>
    <row r="129" spans="1:12">
      <c r="A129" s="601" t="s">
        <v>770</v>
      </c>
      <c r="B129" s="601" t="str">
        <f t="shared" si="1"/>
        <v xml:space="preserve">INDUSTRI </v>
      </c>
      <c r="C129" s="601" t="str">
        <f>MID(Table3[[#This Row],[Statement Code]],FIND("- ",Table3[[#This Row],[Statement Code]])+2,100)</f>
        <v>COMMON STOCK</v>
      </c>
      <c r="D129" s="602" t="s">
        <v>771</v>
      </c>
      <c r="E129" s="601" t="s">
        <v>714</v>
      </c>
      <c r="F129" s="601" t="s">
        <v>551</v>
      </c>
      <c r="G129" s="601">
        <v>103956</v>
      </c>
      <c r="H129" s="601">
        <v>111479</v>
      </c>
      <c r="I129" s="601">
        <v>110330</v>
      </c>
      <c r="J129" s="601">
        <v>94284</v>
      </c>
      <c r="K129" s="601">
        <v>100353</v>
      </c>
      <c r="L129" s="601">
        <v>104510</v>
      </c>
    </row>
    <row r="130" spans="1:12" hidden="1">
      <c r="A130" s="601" t="s">
        <v>772</v>
      </c>
      <c r="B130" s="601" t="str">
        <f t="shared" si="1"/>
        <v xml:space="preserve">INDUSTRI </v>
      </c>
      <c r="C130" s="601" t="str">
        <f>MID(Table3[[#This Row],[Statement Code]],FIND("- ",Table3[[#This Row],[Statement Code]])+2,100)</f>
        <v>COST OF GOODS SOLD (EXCL DEP)</v>
      </c>
      <c r="D130" s="602" t="s">
        <v>773</v>
      </c>
      <c r="E130" s="601" t="s">
        <v>714</v>
      </c>
      <c r="F130" s="601" t="s">
        <v>551</v>
      </c>
      <c r="G130" s="601">
        <v>21944622</v>
      </c>
      <c r="H130" s="601">
        <v>23128410</v>
      </c>
      <c r="I130" s="601">
        <v>17596393</v>
      </c>
      <c r="J130" s="601">
        <v>19689225</v>
      </c>
      <c r="K130" s="601">
        <v>24264170</v>
      </c>
      <c r="L130" s="601">
        <v>27684163</v>
      </c>
    </row>
    <row r="131" spans="1:12">
      <c r="A131" s="601" t="s">
        <v>774</v>
      </c>
      <c r="B131" s="601" t="str">
        <f t="shared" ref="B131:B194" si="2">LEFT(A131,FIND(" ",A131))</f>
        <v xml:space="preserve">INDUSTRI </v>
      </c>
      <c r="C131" s="601" t="str">
        <f>MID(Table3[[#This Row],[Statement Code]],FIND("- ",Table3[[#This Row],[Statement Code]])+2,100)</f>
        <v>CURRENT ASSETS - TOTAL</v>
      </c>
      <c r="D131" s="602" t="s">
        <v>775</v>
      </c>
      <c r="E131" s="601" t="s">
        <v>714</v>
      </c>
      <c r="F131" s="601" t="s">
        <v>551</v>
      </c>
      <c r="G131" s="601">
        <v>11744791</v>
      </c>
      <c r="H131" s="601">
        <v>13536441</v>
      </c>
      <c r="I131" s="601">
        <v>12860438</v>
      </c>
      <c r="J131" s="601">
        <v>13643038</v>
      </c>
      <c r="K131" s="601">
        <v>15628440</v>
      </c>
      <c r="L131" s="601">
        <v>17806810</v>
      </c>
    </row>
    <row r="132" spans="1:12">
      <c r="A132" s="601" t="s">
        <v>776</v>
      </c>
      <c r="B132" s="601" t="str">
        <f t="shared" si="2"/>
        <v xml:space="preserve">INDUSTRI </v>
      </c>
      <c r="C132" s="601" t="str">
        <f>MID(Table3[[#This Row],[Statement Code]],FIND("- ",Table3[[#This Row],[Statement Code]])+2,100)</f>
        <v>CURRENT LIABILITIES-TOTAL</v>
      </c>
      <c r="D132" s="602" t="s">
        <v>777</v>
      </c>
      <c r="E132" s="601" t="s">
        <v>714</v>
      </c>
      <c r="F132" s="601" t="s">
        <v>551</v>
      </c>
      <c r="G132" s="601">
        <v>5953127</v>
      </c>
      <c r="H132" s="601">
        <v>8664555</v>
      </c>
      <c r="I132" s="601">
        <v>7439030</v>
      </c>
      <c r="J132" s="601">
        <v>8054227</v>
      </c>
      <c r="K132" s="601">
        <v>8686974</v>
      </c>
      <c r="L132" s="601">
        <v>9936280</v>
      </c>
    </row>
    <row r="133" spans="1:12" hidden="1">
      <c r="A133" s="601" t="s">
        <v>778</v>
      </c>
      <c r="B133" s="601" t="str">
        <f t="shared" si="2"/>
        <v xml:space="preserve">INDUSTRI </v>
      </c>
      <c r="C133" s="601" t="str">
        <f>MID(Table3[[#This Row],[Statement Code]],FIND("- ",Table3[[#This Row],[Statement Code]])+2,100)</f>
        <v>DEFERRED TAXES</v>
      </c>
      <c r="D133" s="602" t="s">
        <v>779</v>
      </c>
      <c r="E133" s="601" t="s">
        <v>714</v>
      </c>
      <c r="F133" s="601" t="s">
        <v>551</v>
      </c>
      <c r="G133" s="601">
        <v>-603828</v>
      </c>
      <c r="H133" s="601">
        <v>-1027033</v>
      </c>
      <c r="I133" s="601">
        <v>-1032873</v>
      </c>
      <c r="J133" s="601">
        <v>-822474</v>
      </c>
      <c r="K133" s="601">
        <v>-873288</v>
      </c>
      <c r="L133" s="601">
        <v>-867215</v>
      </c>
    </row>
    <row r="134" spans="1:12" hidden="1">
      <c r="A134" s="601" t="s">
        <v>780</v>
      </c>
      <c r="B134" s="601" t="str">
        <f t="shared" si="2"/>
        <v xml:space="preserve">INDUSTRI </v>
      </c>
      <c r="C134" s="601" t="str">
        <f>MID(Table3[[#This Row],[Statement Code]],FIND("- ",Table3[[#This Row],[Statement Code]])+2,100)</f>
        <v>DEPRECIATION AND DEPLETION</v>
      </c>
      <c r="D134" s="602" t="s">
        <v>781</v>
      </c>
      <c r="E134" s="601" t="s">
        <v>714</v>
      </c>
      <c r="F134" s="601" t="s">
        <v>551</v>
      </c>
      <c r="G134" s="601">
        <v>1216504</v>
      </c>
      <c r="H134" s="601">
        <v>3351497</v>
      </c>
      <c r="I134" s="601">
        <v>3009415</v>
      </c>
      <c r="J134" s="601">
        <v>2500522</v>
      </c>
      <c r="K134" s="601">
        <v>2617729</v>
      </c>
      <c r="L134" s="601">
        <v>2791764</v>
      </c>
    </row>
    <row r="135" spans="1:12">
      <c r="A135" s="601" t="s">
        <v>782</v>
      </c>
      <c r="B135" s="601" t="str">
        <f t="shared" si="2"/>
        <v xml:space="preserve">INDUSTRI </v>
      </c>
      <c r="C135" s="601" t="str">
        <f>MID(Table3[[#This Row],[Statement Code]],FIND("- ",Table3[[#This Row],[Statement Code]])+2,100)</f>
        <v>DEPRECIATION/DEPLETION/AMORT</v>
      </c>
      <c r="D135" s="602" t="s">
        <v>783</v>
      </c>
      <c r="E135" s="601" t="s">
        <v>714</v>
      </c>
      <c r="F135" s="601" t="s">
        <v>551</v>
      </c>
      <c r="G135" s="601">
        <v>1333730</v>
      </c>
      <c r="H135" s="601">
        <v>3349125</v>
      </c>
      <c r="I135" s="601">
        <v>3224206</v>
      </c>
      <c r="J135" s="601">
        <v>2856593</v>
      </c>
      <c r="K135" s="601">
        <v>2963628</v>
      </c>
      <c r="L135" s="601">
        <v>3220925</v>
      </c>
    </row>
    <row r="136" spans="1:12" hidden="1">
      <c r="A136" s="601" t="s">
        <v>784</v>
      </c>
      <c r="B136" s="601" t="str">
        <f t="shared" si="2"/>
        <v xml:space="preserve">INDUSTRI </v>
      </c>
      <c r="C136" s="601" t="str">
        <f>MID(Table3[[#This Row],[Statement Code]],FIND("- ",Table3[[#This Row],[Statement Code]])+2,100)</f>
        <v>DIVIDENDS PER SHARE</v>
      </c>
      <c r="D136" s="602" t="s">
        <v>785</v>
      </c>
      <c r="E136" s="601" t="s">
        <v>714</v>
      </c>
      <c r="F136" s="601" t="s">
        <v>551</v>
      </c>
      <c r="G136" s="601">
        <v>0.97299999999999998</v>
      </c>
      <c r="H136" s="601">
        <v>0.41499999999999998</v>
      </c>
      <c r="I136" s="601">
        <v>0.82199999999999995</v>
      </c>
      <c r="J136" s="601">
        <v>0.93300000000000005</v>
      </c>
      <c r="K136" s="601">
        <v>1.2809999999999999</v>
      </c>
      <c r="L136" s="601">
        <v>1.712</v>
      </c>
    </row>
    <row r="137" spans="1:12" hidden="1">
      <c r="A137" s="601" t="s">
        <v>786</v>
      </c>
      <c r="B137" s="601" t="str">
        <f t="shared" si="2"/>
        <v xml:space="preserve">INDUSTRI </v>
      </c>
      <c r="C137" s="601" t="str">
        <f>MID(Table3[[#This Row],[Statement Code]],FIND("- ",Table3[[#This Row],[Statement Code]])+2,100)</f>
        <v>DIVIDENDS PER SHARE - FISCAL</v>
      </c>
      <c r="D137" s="602" t="s">
        <v>787</v>
      </c>
      <c r="E137" s="601" t="s">
        <v>714</v>
      </c>
      <c r="F137" s="601" t="s">
        <v>551</v>
      </c>
      <c r="G137" s="601">
        <v>0.97299999999999998</v>
      </c>
      <c r="H137" s="601">
        <v>0.41499999999999998</v>
      </c>
      <c r="I137" s="601">
        <v>0.82199999999999995</v>
      </c>
      <c r="J137" s="601">
        <v>0.93300000000000005</v>
      </c>
      <c r="K137" s="601">
        <v>1.2809999999999999</v>
      </c>
      <c r="L137" s="601">
        <v>1.712</v>
      </c>
    </row>
    <row r="138" spans="1:12">
      <c r="A138" s="601" t="s">
        <v>788</v>
      </c>
      <c r="B138" s="601" t="str">
        <f t="shared" si="2"/>
        <v xml:space="preserve">INDUSTRI </v>
      </c>
      <c r="C138" s="601" t="str">
        <f>MID(Table3[[#This Row],[Statement Code]],FIND("- ",Table3[[#This Row],[Statement Code]])+2,100)</f>
        <v>EARNINGS BEF INTEREST &amp; TAXES</v>
      </c>
      <c r="D138" s="602" t="s">
        <v>789</v>
      </c>
      <c r="E138" s="601" t="s">
        <v>714</v>
      </c>
      <c r="F138" s="601" t="s">
        <v>551</v>
      </c>
      <c r="G138" s="601">
        <v>4853850</v>
      </c>
      <c r="H138" s="601">
        <v>5664100</v>
      </c>
      <c r="I138" s="601">
        <v>1755883</v>
      </c>
      <c r="J138" s="601">
        <v>4266835</v>
      </c>
      <c r="K138" s="601">
        <v>5817294</v>
      </c>
      <c r="L138" s="601">
        <v>7859412</v>
      </c>
    </row>
    <row r="139" spans="1:12" hidden="1">
      <c r="A139" s="601" t="s">
        <v>790</v>
      </c>
      <c r="B139" s="601" t="str">
        <f t="shared" si="2"/>
        <v xml:space="preserve">INDUSTRI </v>
      </c>
      <c r="C139" s="601" t="str">
        <f>MID(Table3[[#This Row],[Statement Code]],FIND("- ",Table3[[#This Row],[Statement Code]])+2,100)</f>
        <v>EBIT &amp; DEPRECIATION</v>
      </c>
      <c r="D139" s="602" t="s">
        <v>791</v>
      </c>
      <c r="E139" s="601" t="s">
        <v>714</v>
      </c>
      <c r="F139" s="601" t="s">
        <v>551</v>
      </c>
      <c r="G139" s="601">
        <v>6187580</v>
      </c>
      <c r="H139" s="601">
        <v>9013225</v>
      </c>
      <c r="I139" s="601">
        <v>4980089</v>
      </c>
      <c r="J139" s="601">
        <v>7123427</v>
      </c>
      <c r="K139" s="601">
        <v>8780922</v>
      </c>
      <c r="L139" s="601">
        <v>11080336</v>
      </c>
    </row>
    <row r="140" spans="1:12" hidden="1">
      <c r="A140" s="601" t="s">
        <v>792</v>
      </c>
      <c r="B140" s="601" t="str">
        <f t="shared" si="2"/>
        <v xml:space="preserve">INDUSTRI </v>
      </c>
      <c r="C140" s="601" t="str">
        <f>MID(Table3[[#This Row],[Statement Code]],FIND("- ",Table3[[#This Row],[Statement Code]])+2,100)</f>
        <v>EARNINGS PER SHARE</v>
      </c>
      <c r="D140" s="602" t="s">
        <v>793</v>
      </c>
      <c r="E140" s="601" t="s">
        <v>714</v>
      </c>
      <c r="F140" s="601" t="s">
        <v>551</v>
      </c>
      <c r="G140" s="601">
        <v>1.2230000000000001</v>
      </c>
      <c r="H140" s="601">
        <v>1.3859999999999999</v>
      </c>
      <c r="I140" s="601">
        <v>0.41699999999999998</v>
      </c>
      <c r="J140" s="601">
        <v>1.0449999999999999</v>
      </c>
      <c r="K140" s="601">
        <v>1.417</v>
      </c>
      <c r="L140" s="601">
        <v>1.9219999999999999</v>
      </c>
    </row>
    <row r="141" spans="1:12" hidden="1">
      <c r="A141" s="601" t="s">
        <v>794</v>
      </c>
      <c r="B141" s="601" t="str">
        <f t="shared" si="2"/>
        <v xml:space="preserve">INDUSTRI </v>
      </c>
      <c r="C141" s="601" t="str">
        <f>MID(Table3[[#This Row],[Statement Code]],FIND("- ",Table3[[#This Row],[Statement Code]])+2,100)</f>
        <v>FISCAL EPS-FULLY DILUTED-YR</v>
      </c>
      <c r="D141" s="602" t="s">
        <v>795</v>
      </c>
      <c r="E141" s="601" t="s">
        <v>714</v>
      </c>
      <c r="F141" s="601" t="s">
        <v>551</v>
      </c>
      <c r="G141" s="601">
        <v>1.2230000000000001</v>
      </c>
      <c r="H141" s="601">
        <v>1.3859999999999999</v>
      </c>
      <c r="I141" s="601">
        <v>0.41699999999999998</v>
      </c>
      <c r="J141" s="601">
        <v>1.0449999999999999</v>
      </c>
      <c r="K141" s="601">
        <v>1.417</v>
      </c>
      <c r="L141" s="601">
        <v>1.9219999999999999</v>
      </c>
    </row>
    <row r="142" spans="1:12" hidden="1">
      <c r="A142" s="601" t="s">
        <v>796</v>
      </c>
      <c r="B142" s="601" t="str">
        <f t="shared" si="2"/>
        <v xml:space="preserve">INDUSTRI </v>
      </c>
      <c r="C142" s="601" t="str">
        <f>MID(Table3[[#This Row],[Statement Code]],FIND("- ",Table3[[#This Row],[Statement Code]])+2,100)</f>
        <v>ENTERPRISE VALUE</v>
      </c>
      <c r="D142" s="602" t="s">
        <v>797</v>
      </c>
      <c r="E142" s="601" t="s">
        <v>714</v>
      </c>
      <c r="F142" s="601" t="s">
        <v>551</v>
      </c>
      <c r="G142" s="601">
        <v>76443592</v>
      </c>
      <c r="H142" s="601">
        <v>110707513</v>
      </c>
      <c r="I142" s="601">
        <v>87907470</v>
      </c>
      <c r="J142" s="601">
        <v>79933705</v>
      </c>
      <c r="K142" s="601">
        <v>90151950</v>
      </c>
      <c r="L142" s="601">
        <v>130957202</v>
      </c>
    </row>
    <row r="143" spans="1:12">
      <c r="A143" s="601" t="s">
        <v>798</v>
      </c>
      <c r="B143" s="601" t="str">
        <f t="shared" si="2"/>
        <v xml:space="preserve">INDUSTRI </v>
      </c>
      <c r="C143" s="601" t="str">
        <f>MID(Table3[[#This Row],[Statement Code]],FIND("- ",Table3[[#This Row],[Statement Code]])+2,100)</f>
        <v>GROSS INCOME</v>
      </c>
      <c r="D143" s="602" t="s">
        <v>799</v>
      </c>
      <c r="E143" s="601" t="s">
        <v>714</v>
      </c>
      <c r="F143" s="601" t="s">
        <v>551</v>
      </c>
      <c r="G143" s="601">
        <v>5635730</v>
      </c>
      <c r="H143" s="601">
        <v>7068266</v>
      </c>
      <c r="I143" s="601">
        <v>3125613</v>
      </c>
      <c r="J143" s="601">
        <v>5253804</v>
      </c>
      <c r="K143" s="601">
        <v>7542518</v>
      </c>
      <c r="L143" s="601">
        <v>9061282</v>
      </c>
    </row>
    <row r="144" spans="1:12">
      <c r="A144" s="601" t="s">
        <v>800</v>
      </c>
      <c r="B144" s="601" t="str">
        <f t="shared" si="2"/>
        <v xml:space="preserve">INDUSTRI </v>
      </c>
      <c r="C144" s="601" t="str">
        <f>MID(Table3[[#This Row],[Statement Code]],FIND("- ",Table3[[#This Row],[Statement Code]])+2,100)</f>
        <v>INCOME TAXES</v>
      </c>
      <c r="D144" s="602" t="s">
        <v>801</v>
      </c>
      <c r="E144" s="601" t="s">
        <v>714</v>
      </c>
      <c r="F144" s="601" t="s">
        <v>551</v>
      </c>
      <c r="G144" s="601">
        <v>1083794</v>
      </c>
      <c r="H144" s="601">
        <v>1226273</v>
      </c>
      <c r="I144" s="601">
        <v>348595</v>
      </c>
      <c r="J144" s="601">
        <v>951863</v>
      </c>
      <c r="K144" s="601">
        <v>1292851</v>
      </c>
      <c r="L144" s="601">
        <v>1639925</v>
      </c>
    </row>
    <row r="145" spans="1:12" hidden="1">
      <c r="A145" s="601" t="s">
        <v>802</v>
      </c>
      <c r="B145" s="601" t="str">
        <f t="shared" si="2"/>
        <v xml:space="preserve">INDUSTRI </v>
      </c>
      <c r="C145" s="601" t="str">
        <f>MID(Table3[[#This Row],[Statement Code]],FIND("- ",Table3[[#This Row],[Statement Code]])+2,100)</f>
        <v>INCREASE/DECREASE IN CASH/SHOR</v>
      </c>
      <c r="D145" s="602" t="s">
        <v>803</v>
      </c>
      <c r="E145" s="601" t="s">
        <v>714</v>
      </c>
      <c r="F145" s="601" t="s">
        <v>551</v>
      </c>
      <c r="G145" s="601">
        <v>-71884</v>
      </c>
      <c r="H145" s="601">
        <v>-101992</v>
      </c>
      <c r="I145" s="601">
        <v>3072796</v>
      </c>
      <c r="J145" s="601">
        <v>-378137</v>
      </c>
      <c r="K145" s="601">
        <v>-1559748</v>
      </c>
      <c r="L145" s="601">
        <v>1608795</v>
      </c>
    </row>
    <row r="146" spans="1:12">
      <c r="A146" s="601" t="s">
        <v>804</v>
      </c>
      <c r="B146" s="601" t="str">
        <f t="shared" si="2"/>
        <v xml:space="preserve">INDUSTRI </v>
      </c>
      <c r="C146" s="601" t="str">
        <f>MID(Table3[[#This Row],[Statement Code]],FIND("- ",Table3[[#This Row],[Statement Code]])+2,100)</f>
        <v>INTEREST EXPENSE ON DEBT</v>
      </c>
      <c r="D146" s="602" t="s">
        <v>805</v>
      </c>
      <c r="E146" s="601" t="s">
        <v>714</v>
      </c>
      <c r="F146" s="601" t="s">
        <v>551</v>
      </c>
      <c r="G146" s="601">
        <v>16589</v>
      </c>
      <c r="H146" s="601">
        <v>185008</v>
      </c>
      <c r="I146" s="601">
        <v>150236</v>
      </c>
      <c r="J146" s="601">
        <v>113341</v>
      </c>
      <c r="K146" s="601">
        <v>153733</v>
      </c>
      <c r="L146" s="601">
        <v>301302</v>
      </c>
    </row>
    <row r="147" spans="1:12" hidden="1">
      <c r="A147" s="601" t="s">
        <v>806</v>
      </c>
      <c r="B147" s="601" t="str">
        <f t="shared" si="2"/>
        <v xml:space="preserve">INDUSTRI </v>
      </c>
      <c r="C147" s="601" t="str">
        <f>MID(Table3[[#This Row],[Statement Code]],FIND("- ",Table3[[#This Row],[Statement Code]])+2,100)</f>
        <v>TOTAL INVENTORIES</v>
      </c>
      <c r="D147" s="602" t="s">
        <v>807</v>
      </c>
      <c r="E147" s="601" t="s">
        <v>714</v>
      </c>
      <c r="F147" s="601" t="s">
        <v>551</v>
      </c>
      <c r="G147" s="601">
        <v>3003658</v>
      </c>
      <c r="H147" s="601">
        <v>2690922</v>
      </c>
      <c r="I147" s="601">
        <v>2724201</v>
      </c>
      <c r="J147" s="601">
        <v>3051178</v>
      </c>
      <c r="K147" s="601">
        <v>3406677</v>
      </c>
      <c r="L147" s="601">
        <v>3297640</v>
      </c>
    </row>
    <row r="148" spans="1:12">
      <c r="A148" s="601" t="s">
        <v>808</v>
      </c>
      <c r="B148" s="601" t="str">
        <f t="shared" si="2"/>
        <v xml:space="preserve">INDUSTRI </v>
      </c>
      <c r="C148" s="601" t="str">
        <f>MID(Table3[[#This Row],[Statement Code]],FIND("- ",Table3[[#This Row],[Statement Code]])+2,100)</f>
        <v>LONG TERM DEBT</v>
      </c>
      <c r="D148" s="602" t="s">
        <v>809</v>
      </c>
      <c r="E148" s="601" t="s">
        <v>714</v>
      </c>
      <c r="F148" s="601" t="s">
        <v>551</v>
      </c>
      <c r="G148" s="601">
        <v>5530</v>
      </c>
      <c r="H148" s="601">
        <v>6123063</v>
      </c>
      <c r="I148" s="601">
        <v>5397933</v>
      </c>
      <c r="J148" s="601">
        <v>4274859</v>
      </c>
      <c r="K148" s="601">
        <v>4189220</v>
      </c>
      <c r="L148" s="601">
        <v>4584008</v>
      </c>
    </row>
    <row r="149" spans="1:12" hidden="1">
      <c r="A149" s="601" t="s">
        <v>810</v>
      </c>
      <c r="B149" s="601" t="str">
        <f t="shared" si="2"/>
        <v xml:space="preserve">INDUSTRI </v>
      </c>
      <c r="C149" s="601" t="str">
        <f>MID(Table3[[#This Row],[Statement Code]],FIND("- ",Table3[[#This Row],[Statement Code]])+2,100)</f>
        <v>MARKET CAPITALIZATION</v>
      </c>
      <c r="D149" s="602" t="s">
        <v>811</v>
      </c>
      <c r="E149" s="601" t="s">
        <v>714</v>
      </c>
      <c r="F149" s="601" t="s">
        <v>551</v>
      </c>
      <c r="G149" s="601">
        <v>83848782</v>
      </c>
      <c r="H149" s="601">
        <v>112176906</v>
      </c>
      <c r="I149" s="601">
        <v>89536592</v>
      </c>
      <c r="J149" s="601">
        <v>83477364</v>
      </c>
      <c r="K149" s="601">
        <v>95076740</v>
      </c>
      <c r="L149" s="601">
        <v>137442412</v>
      </c>
    </row>
    <row r="150" spans="1:12" hidden="1">
      <c r="A150" s="601" t="s">
        <v>812</v>
      </c>
      <c r="B150" s="601" t="str">
        <f t="shared" si="2"/>
        <v xml:space="preserve">INDUSTRI </v>
      </c>
      <c r="C150" s="601" t="str">
        <f>MID(Table3[[#This Row],[Statement Code]],FIND("- ",Table3[[#This Row],[Statement Code]])+2,100)</f>
        <v>NET CASH FLOW - FINANCING</v>
      </c>
      <c r="D150" s="602" t="s">
        <v>813</v>
      </c>
      <c r="E150" s="601" t="s">
        <v>714</v>
      </c>
      <c r="F150" s="601" t="s">
        <v>551</v>
      </c>
      <c r="G150" s="601">
        <v>-2499362</v>
      </c>
      <c r="H150" s="601">
        <v>-5489766</v>
      </c>
      <c r="I150" s="601">
        <v>-3269981</v>
      </c>
      <c r="J150" s="601">
        <v>-3920794</v>
      </c>
      <c r="K150" s="601">
        <v>-4925857</v>
      </c>
      <c r="L150" s="601">
        <v>-6084957</v>
      </c>
    </row>
    <row r="151" spans="1:12" hidden="1">
      <c r="A151" s="601" t="s">
        <v>814</v>
      </c>
      <c r="B151" s="601" t="str">
        <f t="shared" si="2"/>
        <v xml:space="preserve">INDUSTRI </v>
      </c>
      <c r="C151" s="601" t="str">
        <f>MID(Table3[[#This Row],[Statement Code]],FIND("- ",Table3[[#This Row],[Statement Code]])+2,100)</f>
        <v>NET CASH FLOW - INVESTING</v>
      </c>
      <c r="D151" s="602" t="s">
        <v>815</v>
      </c>
      <c r="E151" s="601" t="s">
        <v>714</v>
      </c>
      <c r="F151" s="601" t="s">
        <v>551</v>
      </c>
      <c r="G151" s="601">
        <v>2073586</v>
      </c>
      <c r="H151" s="601">
        <v>2819005</v>
      </c>
      <c r="I151" s="601">
        <v>-2950729</v>
      </c>
      <c r="J151" s="601">
        <v>3262815</v>
      </c>
      <c r="K151" s="601">
        <v>3740833</v>
      </c>
      <c r="L151" s="601">
        <v>1900090</v>
      </c>
    </row>
    <row r="152" spans="1:12" hidden="1">
      <c r="A152" s="601" t="s">
        <v>816</v>
      </c>
      <c r="B152" s="601" t="str">
        <f t="shared" si="2"/>
        <v xml:space="preserve">INDUSTRI </v>
      </c>
      <c r="C152" s="601" t="str">
        <f>MID(Table3[[#This Row],[Statement Code]],FIND("- ",Table3[[#This Row],[Statement Code]])+2,100)</f>
        <v>NET CASH FLOW-OPERATING ACTIVS</v>
      </c>
      <c r="D152" s="602" t="s">
        <v>817</v>
      </c>
      <c r="E152" s="601" t="s">
        <v>714</v>
      </c>
      <c r="F152" s="601" t="s">
        <v>551</v>
      </c>
      <c r="G152" s="601">
        <v>4455721</v>
      </c>
      <c r="H152" s="601">
        <v>8183060</v>
      </c>
      <c r="I152" s="601">
        <v>3541110</v>
      </c>
      <c r="J152" s="601">
        <v>6774377</v>
      </c>
      <c r="K152" s="601">
        <v>7125091</v>
      </c>
      <c r="L152" s="601">
        <v>9636090</v>
      </c>
    </row>
    <row r="153" spans="1:12" hidden="1">
      <c r="A153" s="601" t="s">
        <v>818</v>
      </c>
      <c r="B153" s="601" t="str">
        <f t="shared" si="2"/>
        <v xml:space="preserve">INDUSTRI </v>
      </c>
      <c r="C153" s="601" t="str">
        <f>MID(Table3[[#This Row],[Statement Code]],FIND("- ",Table3[[#This Row],[Statement Code]])+2,100)</f>
        <v>NET DEBT</v>
      </c>
      <c r="D153" s="602" t="s">
        <v>819</v>
      </c>
      <c r="E153" s="601" t="s">
        <v>714</v>
      </c>
      <c r="F153" s="601" t="s">
        <v>551</v>
      </c>
      <c r="G153" s="601">
        <v>-7438367</v>
      </c>
      <c r="H153" s="601">
        <v>-1512087</v>
      </c>
      <c r="I153" s="601">
        <v>-1664333</v>
      </c>
      <c r="J153" s="601">
        <v>-3569738</v>
      </c>
      <c r="K153" s="601">
        <v>-4951479</v>
      </c>
      <c r="L153" s="601">
        <v>-6518564</v>
      </c>
    </row>
    <row r="154" spans="1:12">
      <c r="A154" s="601" t="s">
        <v>820</v>
      </c>
      <c r="B154" s="601" t="str">
        <f t="shared" si="2"/>
        <v xml:space="preserve">INDUSTRI </v>
      </c>
      <c r="C154" s="601" t="str">
        <f>MID(Table3[[#This Row],[Statement Code]],FIND("- ",Table3[[#This Row],[Statement Code]])+2,100)</f>
        <v>NET INCOME - DILUTED</v>
      </c>
      <c r="D154" s="602" t="s">
        <v>821</v>
      </c>
      <c r="E154" s="601" t="s">
        <v>714</v>
      </c>
      <c r="F154" s="601" t="s">
        <v>551</v>
      </c>
      <c r="G154" s="601">
        <v>3808763</v>
      </c>
      <c r="H154" s="601">
        <v>4315674</v>
      </c>
      <c r="I154" s="601">
        <v>1298133</v>
      </c>
      <c r="J154" s="601">
        <v>3252784</v>
      </c>
      <c r="K154" s="601">
        <v>4409144</v>
      </c>
      <c r="L154" s="601">
        <v>5982670</v>
      </c>
    </row>
    <row r="155" spans="1:12">
      <c r="A155" s="601" t="s">
        <v>822</v>
      </c>
      <c r="B155" s="601" t="str">
        <f t="shared" si="2"/>
        <v xml:space="preserve">INDUSTRI </v>
      </c>
      <c r="C155" s="601" t="str">
        <f>MID(Table3[[#This Row],[Statement Code]],FIND("- ",Table3[[#This Row],[Statement Code]])+2,100)</f>
        <v>NET SALES OR REVENUES</v>
      </c>
      <c r="D155" s="602" t="s">
        <v>823</v>
      </c>
      <c r="E155" s="601" t="s">
        <v>714</v>
      </c>
      <c r="F155" s="601" t="s">
        <v>551</v>
      </c>
      <c r="G155" s="601">
        <v>28914082</v>
      </c>
      <c r="H155" s="601">
        <v>33545800</v>
      </c>
      <c r="I155" s="601">
        <v>23946212</v>
      </c>
      <c r="J155" s="601">
        <v>27799622</v>
      </c>
      <c r="K155" s="601">
        <v>34770316</v>
      </c>
      <c r="L155" s="601">
        <v>39966370</v>
      </c>
    </row>
    <row r="156" spans="1:12" hidden="1">
      <c r="A156" s="601" t="s">
        <v>824</v>
      </c>
      <c r="B156" s="601" t="str">
        <f t="shared" si="2"/>
        <v xml:space="preserve">INDUSTRI </v>
      </c>
      <c r="C156" s="601" t="str">
        <f>MID(Table3[[#This Row],[Statement Code]],FIND("- ",Table3[[#This Row],[Statement Code]])+2,100)</f>
        <v>NON-OPERATING INTEREST INCOME</v>
      </c>
      <c r="D156" s="602" t="s">
        <v>825</v>
      </c>
      <c r="E156" s="601" t="s">
        <v>714</v>
      </c>
      <c r="F156" s="601" t="s">
        <v>551</v>
      </c>
      <c r="G156" s="601">
        <v>32071</v>
      </c>
      <c r="H156" s="601">
        <v>36764</v>
      </c>
      <c r="I156" s="601">
        <v>7042</v>
      </c>
      <c r="J156" s="601">
        <v>5015</v>
      </c>
      <c r="K156" s="601">
        <v>50177</v>
      </c>
      <c r="L156" s="601">
        <v>422489</v>
      </c>
    </row>
    <row r="157" spans="1:12" hidden="1">
      <c r="A157" s="601" t="s">
        <v>826</v>
      </c>
      <c r="B157" s="601" t="str">
        <f t="shared" si="2"/>
        <v xml:space="preserve">INDUSTRI </v>
      </c>
      <c r="C157" s="601" t="str">
        <f>MID(Table3[[#This Row],[Statement Code]],FIND("- ",Table3[[#This Row],[Statement Code]])+2,100)</f>
        <v>OPERATING EXPENSES - TOTAL</v>
      </c>
      <c r="D157" s="602" t="s">
        <v>827</v>
      </c>
      <c r="E157" s="601" t="s">
        <v>714</v>
      </c>
      <c r="F157" s="601" t="s">
        <v>551</v>
      </c>
      <c r="G157" s="601">
        <v>24216166</v>
      </c>
      <c r="H157" s="601">
        <v>27553192</v>
      </c>
      <c r="I157" s="601">
        <v>21550652</v>
      </c>
      <c r="J157" s="601">
        <v>23443518</v>
      </c>
      <c r="K157" s="601">
        <v>28802492</v>
      </c>
      <c r="L157" s="601">
        <v>32289296</v>
      </c>
    </row>
    <row r="158" spans="1:12">
      <c r="A158" s="601" t="s">
        <v>828</v>
      </c>
      <c r="B158" s="601" t="str">
        <f t="shared" si="2"/>
        <v xml:space="preserve">INDUSTRI </v>
      </c>
      <c r="C158" s="601" t="str">
        <f>MID(Table3[[#This Row],[Statement Code]],FIND("- ",Table3[[#This Row],[Statement Code]])+2,100)</f>
        <v>OPERATING INCOME</v>
      </c>
      <c r="D158" s="602" t="s">
        <v>829</v>
      </c>
      <c r="E158" s="601" t="s">
        <v>714</v>
      </c>
      <c r="F158" s="601" t="s">
        <v>551</v>
      </c>
      <c r="G158" s="601">
        <v>4697916</v>
      </c>
      <c r="H158" s="601">
        <v>5992609</v>
      </c>
      <c r="I158" s="601">
        <v>2395560</v>
      </c>
      <c r="J158" s="601">
        <v>4356103</v>
      </c>
      <c r="K158" s="601">
        <v>5967824</v>
      </c>
      <c r="L158" s="601">
        <v>7677074</v>
      </c>
    </row>
    <row r="159" spans="1:12" hidden="1">
      <c r="A159" s="601" t="s">
        <v>830</v>
      </c>
      <c r="B159" s="601" t="str">
        <f t="shared" si="2"/>
        <v xml:space="preserve">INDUSTRI </v>
      </c>
      <c r="C159" s="601" t="str">
        <f>MID(Table3[[#This Row],[Statement Code]],FIND("- ",Table3[[#This Row],[Statement Code]])+2,100)</f>
        <v>PRETAX INCOME</v>
      </c>
      <c r="D159" s="602" t="s">
        <v>831</v>
      </c>
      <c r="E159" s="601" t="s">
        <v>714</v>
      </c>
      <c r="F159" s="601" t="s">
        <v>551</v>
      </c>
      <c r="G159" s="601">
        <v>4837261</v>
      </c>
      <c r="H159" s="601">
        <v>5479092</v>
      </c>
      <c r="I159" s="601">
        <v>1605647</v>
      </c>
      <c r="J159" s="601">
        <v>4153494</v>
      </c>
      <c r="K159" s="601">
        <v>5663561</v>
      </c>
      <c r="L159" s="601">
        <v>7558110</v>
      </c>
    </row>
    <row r="160" spans="1:12" hidden="1">
      <c r="A160" s="601" t="s">
        <v>832</v>
      </c>
      <c r="B160" s="601" t="str">
        <f t="shared" si="2"/>
        <v xml:space="preserve">INDUSTRI </v>
      </c>
      <c r="C160" s="601" t="str">
        <f>MID(Table3[[#This Row],[Statement Code]],FIND("- ",Table3[[#This Row],[Statement Code]])+2,100)</f>
        <v>PROPERTY, PLANT &amp; EQUIP - NET</v>
      </c>
      <c r="D160" s="602" t="s">
        <v>833</v>
      </c>
      <c r="E160" s="601" t="s">
        <v>714</v>
      </c>
      <c r="F160" s="601" t="s">
        <v>551</v>
      </c>
      <c r="G160" s="601">
        <v>9222204</v>
      </c>
      <c r="H160" s="601">
        <v>17075318</v>
      </c>
      <c r="I160" s="601">
        <v>15115151</v>
      </c>
      <c r="J160" s="601">
        <v>12743332</v>
      </c>
      <c r="K160" s="601">
        <v>13345934</v>
      </c>
      <c r="L160" s="601">
        <v>14936106</v>
      </c>
    </row>
    <row r="161" spans="1:12" hidden="1">
      <c r="A161" s="601" t="s">
        <v>834</v>
      </c>
      <c r="B161" s="601" t="str">
        <f t="shared" si="2"/>
        <v xml:space="preserve">INDUSTRI </v>
      </c>
      <c r="C161" s="601" t="str">
        <f>MID(Table3[[#This Row],[Statement Code]],FIND("- ",Table3[[#This Row],[Statement Code]])+2,100)</f>
        <v>RECEIVABLES(NET)</v>
      </c>
      <c r="D161" s="602" t="s">
        <v>835</v>
      </c>
      <c r="E161" s="601" t="s">
        <v>714</v>
      </c>
      <c r="F161" s="601" t="s">
        <v>551</v>
      </c>
      <c r="G161" s="601">
        <v>1026287</v>
      </c>
      <c r="H161" s="601">
        <v>1131397</v>
      </c>
      <c r="I161" s="601">
        <v>1140855</v>
      </c>
      <c r="J161" s="601">
        <v>1064201</v>
      </c>
      <c r="K161" s="601">
        <v>1162605</v>
      </c>
      <c r="L161" s="601">
        <v>1691069</v>
      </c>
    </row>
    <row r="162" spans="1:12" hidden="1">
      <c r="A162" s="601" t="s">
        <v>836</v>
      </c>
      <c r="B162" s="601" t="str">
        <f t="shared" si="2"/>
        <v xml:space="preserve">INDUSTRI </v>
      </c>
      <c r="C162" s="601" t="str">
        <f>MID(Table3[[#This Row],[Statement Code]],FIND("- ",Table3[[#This Row],[Statement Code]])+2,100)</f>
        <v>SHORT TERM DEBT &amp; CURRENT PORT</v>
      </c>
      <c r="D162" s="602" t="s">
        <v>837</v>
      </c>
      <c r="E162" s="601" t="s">
        <v>714</v>
      </c>
      <c r="F162" s="601" t="s">
        <v>551</v>
      </c>
      <c r="G162" s="601">
        <v>92897</v>
      </c>
      <c r="H162" s="601">
        <v>1986467</v>
      </c>
      <c r="I162" s="601">
        <v>1829828</v>
      </c>
      <c r="J162" s="601">
        <v>1600815</v>
      </c>
      <c r="K162" s="601">
        <v>1632344</v>
      </c>
      <c r="L162" s="601">
        <v>1604347</v>
      </c>
    </row>
    <row r="163" spans="1:12">
      <c r="A163" s="601" t="s">
        <v>838</v>
      </c>
      <c r="B163" s="601" t="str">
        <f t="shared" si="2"/>
        <v xml:space="preserve">INDUSTRI </v>
      </c>
      <c r="C163" s="601" t="str">
        <f>MID(Table3[[#This Row],[Statement Code]],FIND("- ",Table3[[#This Row],[Statement Code]])+2,100)</f>
        <v>TOTAL ASSETS</v>
      </c>
      <c r="D163" s="602" t="s">
        <v>839</v>
      </c>
      <c r="E163" s="601" t="s">
        <v>714</v>
      </c>
      <c r="F163" s="601" t="s">
        <v>551</v>
      </c>
      <c r="G163" s="601">
        <v>23031734</v>
      </c>
      <c r="H163" s="601">
        <v>32204490</v>
      </c>
      <c r="I163" s="601">
        <v>29509640</v>
      </c>
      <c r="J163" s="601">
        <v>27849773</v>
      </c>
      <c r="K163" s="601">
        <v>30725220</v>
      </c>
      <c r="L163" s="601">
        <v>35089955</v>
      </c>
    </row>
    <row r="164" spans="1:12" hidden="1">
      <c r="A164" s="601" t="s">
        <v>840</v>
      </c>
      <c r="B164" s="601" t="str">
        <f t="shared" si="2"/>
        <v xml:space="preserve">INDUSTRI </v>
      </c>
      <c r="C164" s="601" t="str">
        <f>MID(Table3[[#This Row],[Statement Code]],FIND("- ",Table3[[#This Row],[Statement Code]])+2,100)</f>
        <v>TOTAL CAPITAL</v>
      </c>
      <c r="D164" s="602" t="s">
        <v>841</v>
      </c>
      <c r="E164" s="601" t="s">
        <v>714</v>
      </c>
      <c r="F164" s="601" t="s">
        <v>551</v>
      </c>
      <c r="G164" s="601">
        <v>16242537</v>
      </c>
      <c r="H164" s="601">
        <v>23851840</v>
      </c>
      <c r="I164" s="601">
        <v>22475542</v>
      </c>
      <c r="J164" s="601">
        <v>20081405</v>
      </c>
      <c r="K164" s="601">
        <v>22373469</v>
      </c>
      <c r="L164" s="601">
        <v>25343795</v>
      </c>
    </row>
    <row r="165" spans="1:12">
      <c r="A165" s="601" t="s">
        <v>842</v>
      </c>
      <c r="B165" s="601" t="str">
        <f t="shared" si="2"/>
        <v xml:space="preserve">INDUSTRI </v>
      </c>
      <c r="C165" s="601" t="str">
        <f>MID(Table3[[#This Row],[Statement Code]],FIND("- ",Table3[[#This Row],[Statement Code]])+2,100)</f>
        <v>TOTAL DEBT</v>
      </c>
      <c r="D165" s="602" t="s">
        <v>843</v>
      </c>
      <c r="E165" s="601" t="s">
        <v>714</v>
      </c>
      <c r="F165" s="601" t="s">
        <v>551</v>
      </c>
      <c r="G165" s="601">
        <v>98426</v>
      </c>
      <c r="H165" s="601">
        <v>8109531</v>
      </c>
      <c r="I165" s="601">
        <v>7227761</v>
      </c>
      <c r="J165" s="601">
        <v>5875674</v>
      </c>
      <c r="K165" s="601">
        <v>5821564</v>
      </c>
      <c r="L165" s="601">
        <v>6188356</v>
      </c>
    </row>
    <row r="166" spans="1:12" hidden="1">
      <c r="A166" s="601" t="s">
        <v>844</v>
      </c>
      <c r="B166" s="601" t="str">
        <f t="shared" si="2"/>
        <v xml:space="preserve">INDUSTRI </v>
      </c>
      <c r="C166" s="601" t="str">
        <f>MID(Table3[[#This Row],[Statement Code]],FIND("- ",Table3[[#This Row],[Statement Code]])+2,100)</f>
        <v>TOTAL INTANGIBLE OT ASSETS-NET</v>
      </c>
      <c r="D166" s="602" t="s">
        <v>845</v>
      </c>
      <c r="E166" s="601" t="s">
        <v>714</v>
      </c>
      <c r="F166" s="601" t="s">
        <v>551</v>
      </c>
      <c r="G166" s="601">
        <v>1123607</v>
      </c>
      <c r="H166" s="601">
        <v>731732</v>
      </c>
      <c r="I166" s="601">
        <v>757049</v>
      </c>
      <c r="J166" s="601">
        <v>793387</v>
      </c>
      <c r="K166" s="601">
        <v>1070792</v>
      </c>
      <c r="L166" s="601">
        <v>1578776</v>
      </c>
    </row>
    <row r="167" spans="1:12">
      <c r="A167" s="601" t="s">
        <v>846</v>
      </c>
      <c r="B167" s="601" t="str">
        <f t="shared" si="2"/>
        <v xml:space="preserve">INDUSTRI </v>
      </c>
      <c r="C167" s="601" t="str">
        <f>MID(Table3[[#This Row],[Statement Code]],FIND("- ",Table3[[#This Row],[Statement Code]])+2,100)</f>
        <v>TOTAL LIABILITIES</v>
      </c>
      <c r="D167" s="602" t="s">
        <v>847</v>
      </c>
      <c r="E167" s="601" t="s">
        <v>714</v>
      </c>
      <c r="F167" s="601" t="s">
        <v>551</v>
      </c>
      <c r="G167" s="601">
        <v>6794726</v>
      </c>
      <c r="H167" s="601">
        <v>14475714</v>
      </c>
      <c r="I167" s="601">
        <v>12432030</v>
      </c>
      <c r="J167" s="601">
        <v>12043226</v>
      </c>
      <c r="K167" s="601">
        <v>12540972</v>
      </c>
      <c r="L167" s="601">
        <v>14330168</v>
      </c>
    </row>
    <row r="168" spans="1:12" hidden="1">
      <c r="A168" s="601" t="s">
        <v>848</v>
      </c>
      <c r="B168" s="601" t="str">
        <f t="shared" si="2"/>
        <v xml:space="preserve">INDUSTRI </v>
      </c>
      <c r="C168" s="601" t="str">
        <f>MID(Table3[[#This Row],[Statement Code]],FIND("- ",Table3[[#This Row],[Statement Code]])+2,100)</f>
        <v>TOTAL LIABILITIES &amp; SHAREHOLDE</v>
      </c>
      <c r="D168" s="602" t="s">
        <v>849</v>
      </c>
      <c r="E168" s="601" t="s">
        <v>714</v>
      </c>
      <c r="F168" s="601" t="s">
        <v>551</v>
      </c>
      <c r="G168" s="601">
        <v>23031734</v>
      </c>
      <c r="H168" s="601">
        <v>32204490</v>
      </c>
      <c r="I168" s="601">
        <v>29509640</v>
      </c>
      <c r="J168" s="601">
        <v>27849773</v>
      </c>
      <c r="K168" s="601">
        <v>30725220</v>
      </c>
      <c r="L168" s="601">
        <v>35089955</v>
      </c>
    </row>
    <row r="169" spans="1:12" hidden="1">
      <c r="A169" s="601" t="s">
        <v>850</v>
      </c>
      <c r="B169" s="601" t="str">
        <f t="shared" si="2"/>
        <v xml:space="preserve">INDUSTRI </v>
      </c>
      <c r="C169" s="601" t="str">
        <f>MID(Table3[[#This Row],[Statement Code]],FIND("- ",Table3[[#This Row],[Statement Code]])+2,100)</f>
        <v>TOTAL SHAREHOLDERS EQUITY</v>
      </c>
      <c r="D169" s="602" t="s">
        <v>851</v>
      </c>
      <c r="E169" s="601" t="s">
        <v>714</v>
      </c>
      <c r="F169" s="601" t="s">
        <v>551</v>
      </c>
      <c r="G169" s="601">
        <v>16203830</v>
      </c>
      <c r="H169" s="601">
        <v>17686082</v>
      </c>
      <c r="I169" s="601">
        <v>17042398</v>
      </c>
      <c r="J169" s="601">
        <v>15780468</v>
      </c>
      <c r="K169" s="601">
        <v>18157559</v>
      </c>
      <c r="L169" s="601">
        <v>20726433</v>
      </c>
    </row>
    <row r="170" spans="1:12" hidden="1">
      <c r="A170" s="601" t="s">
        <v>852</v>
      </c>
      <c r="B170" s="601" t="str">
        <f t="shared" si="2"/>
        <v xml:space="preserve">INDUSTRI </v>
      </c>
      <c r="C170" s="601" t="str">
        <f>MID(Table3[[#This Row],[Statement Code]],FIND("- ",Table3[[#This Row],[Statement Code]])+2,100)</f>
        <v>WORKING CAPITAL</v>
      </c>
      <c r="D170" s="602" t="s">
        <v>853</v>
      </c>
      <c r="E170" s="601" t="s">
        <v>714</v>
      </c>
      <c r="F170" s="601" t="s">
        <v>551</v>
      </c>
      <c r="G170" s="601">
        <v>5791664</v>
      </c>
      <c r="H170" s="601">
        <v>4871885</v>
      </c>
      <c r="I170" s="601">
        <v>5421407</v>
      </c>
      <c r="J170" s="601">
        <v>5588811</v>
      </c>
      <c r="K170" s="601">
        <v>6941466</v>
      </c>
      <c r="L170" s="601">
        <v>7870530</v>
      </c>
    </row>
    <row r="171" spans="1:12" hidden="1">
      <c r="A171" s="601" t="s">
        <v>854</v>
      </c>
      <c r="B171" s="601" t="str">
        <f t="shared" si="2"/>
        <v xml:space="preserve">INDITEX </v>
      </c>
      <c r="C171" s="601" t="str">
        <f>MID(Table3[[#This Row],[Statement Code]],FIND("- ",Table3[[#This Row],[Statement Code]])+2,100)</f>
        <v>BK VAL PS 12M FWD</v>
      </c>
      <c r="D171" s="602" t="s">
        <v>855</v>
      </c>
      <c r="E171" s="601" t="s">
        <v>714</v>
      </c>
      <c r="F171" s="601" t="s">
        <v>551</v>
      </c>
      <c r="G171" s="601">
        <v>5.67</v>
      </c>
      <c r="H171" s="601">
        <v>5.77</v>
      </c>
      <c r="I171" s="601">
        <v>5.95</v>
      </c>
      <c r="J171" s="601">
        <v>5.28</v>
      </c>
      <c r="K171" s="601">
        <v>6.37</v>
      </c>
      <c r="L171" s="601">
        <v>7.3</v>
      </c>
    </row>
    <row r="172" spans="1:12" hidden="1">
      <c r="A172" s="601" t="s">
        <v>856</v>
      </c>
      <c r="B172" s="601" t="str">
        <f t="shared" si="2"/>
        <v xml:space="preserve">INDITEX </v>
      </c>
      <c r="C172" s="601" t="str">
        <f>MID(Table3[[#This Row],[Statement Code]],FIND("- ",Table3[[#This Row],[Statement Code]])+2,100)</f>
        <v>EV 12M FWD</v>
      </c>
      <c r="D172" s="602" t="s">
        <v>857</v>
      </c>
      <c r="E172" s="601" t="s">
        <v>714</v>
      </c>
      <c r="F172" s="601" t="s">
        <v>551</v>
      </c>
      <c r="G172" s="601">
        <v>81434282.650000006</v>
      </c>
      <c r="H172" s="601">
        <v>87427694.180000007</v>
      </c>
      <c r="I172" s="601">
        <v>102184846.59999999</v>
      </c>
      <c r="J172" s="601">
        <v>60406632.030000001</v>
      </c>
      <c r="K172" s="601">
        <v>106396820.8</v>
      </c>
      <c r="L172" s="601">
        <v>160003967.69999999</v>
      </c>
    </row>
    <row r="173" spans="1:12" hidden="1">
      <c r="A173" s="601" t="s">
        <v>858</v>
      </c>
      <c r="B173" s="601" t="str">
        <f t="shared" si="2"/>
        <v xml:space="preserve">INDITEX </v>
      </c>
      <c r="C173" s="601" t="str">
        <f>MID(Table3[[#This Row],[Statement Code]],FIND("- ",Table3[[#This Row],[Statement Code]])+2,100)</f>
        <v>NET INCOME 12M FWD</v>
      </c>
      <c r="D173" s="602" t="s">
        <v>859</v>
      </c>
      <c r="E173" s="601" t="s">
        <v>714</v>
      </c>
      <c r="F173" s="601" t="s">
        <v>551</v>
      </c>
      <c r="G173" s="601">
        <v>4329982.5199999996</v>
      </c>
      <c r="H173" s="601">
        <v>3210704.05</v>
      </c>
      <c r="I173" s="601">
        <v>4572589.1900000004</v>
      </c>
      <c r="J173" s="601">
        <v>4098767.15</v>
      </c>
      <c r="K173" s="601">
        <v>5783777.1299999999</v>
      </c>
      <c r="L173" s="601">
        <v>7037811.2599999998</v>
      </c>
    </row>
    <row r="174" spans="1:12" hidden="1">
      <c r="A174" s="601" t="s">
        <v>860</v>
      </c>
      <c r="B174" s="601" t="str">
        <f t="shared" si="2"/>
        <v xml:space="preserve">INDITEX </v>
      </c>
      <c r="C174" s="601" t="str">
        <f>MID(Table3[[#This Row],[Statement Code]],FIND("- ",Table3[[#This Row],[Statement Code]])+2,100)</f>
        <v>PRETAX PRF 12M FWD</v>
      </c>
      <c r="D174" s="602" t="s">
        <v>861</v>
      </c>
      <c r="E174" s="601" t="s">
        <v>714</v>
      </c>
      <c r="F174" s="601" t="s">
        <v>551</v>
      </c>
      <c r="G174" s="601">
        <v>5581959.5199999996</v>
      </c>
      <c r="H174" s="601">
        <v>4167187.49</v>
      </c>
      <c r="I174" s="601">
        <v>5932213.3799999999</v>
      </c>
      <c r="J174" s="601">
        <v>5308130.9400000004</v>
      </c>
      <c r="K174" s="601">
        <v>7497224.8600000003</v>
      </c>
      <c r="L174" s="601">
        <v>9087740.1600000001</v>
      </c>
    </row>
    <row r="175" spans="1:12" hidden="1">
      <c r="A175" s="601" t="s">
        <v>862</v>
      </c>
      <c r="B175" s="601" t="str">
        <f t="shared" si="2"/>
        <v xml:space="preserve">INDITEX </v>
      </c>
      <c r="C175" s="601" t="str">
        <f>MID(Table3[[#This Row],[Statement Code]],FIND("- ",Table3[[#This Row],[Statement Code]])+2,100)</f>
        <v>ROE 12M FWD</v>
      </c>
      <c r="D175" s="602" t="s">
        <v>863</v>
      </c>
      <c r="E175" s="601" t="s">
        <v>714</v>
      </c>
      <c r="F175" s="601" t="s">
        <v>551</v>
      </c>
      <c r="G175" s="601">
        <v>28.35</v>
      </c>
      <c r="H175" s="601">
        <v>20.99</v>
      </c>
      <c r="I175" s="601">
        <v>29.03</v>
      </c>
      <c r="J175" s="601">
        <v>24.52</v>
      </c>
      <c r="K175" s="601">
        <v>32.159999999999997</v>
      </c>
      <c r="L175" s="601">
        <v>35.53</v>
      </c>
    </row>
    <row r="176" spans="1:12" hidden="1">
      <c r="A176" s="601" t="s">
        <v>864</v>
      </c>
      <c r="B176" s="601" t="str">
        <f t="shared" si="2"/>
        <v xml:space="preserve">INDITEX </v>
      </c>
      <c r="C176" s="601" t="str">
        <f>MID(Table3[[#This Row],[Statement Code]],FIND("- ",Table3[[#This Row],[Statement Code]])+2,100)</f>
        <v>SALES 12M FWD</v>
      </c>
      <c r="D176" s="602" t="s">
        <v>865</v>
      </c>
      <c r="E176" s="601" t="s">
        <v>714</v>
      </c>
      <c r="F176" s="601" t="s">
        <v>551</v>
      </c>
      <c r="G176" s="601">
        <v>32152786.84</v>
      </c>
      <c r="H176" s="601">
        <v>29694553.600000001</v>
      </c>
      <c r="I176" s="601">
        <v>33586387.719999999</v>
      </c>
      <c r="J176" s="601">
        <v>32160033.850000001</v>
      </c>
      <c r="K176" s="601">
        <v>40305407.719999999</v>
      </c>
      <c r="L176" s="601">
        <v>45276615.030000001</v>
      </c>
    </row>
    <row r="177" spans="1:12" hidden="1">
      <c r="A177" s="601" t="s">
        <v>866</v>
      </c>
      <c r="B177" s="601" t="str">
        <f t="shared" si="2"/>
        <v xml:space="preserve">INDUSTRI </v>
      </c>
      <c r="C177" s="601" t="str">
        <f>MID(Table3[[#This Row],[Statement Code]],FIND("- ",Table3[[#This Row],[Statement Code]])+2,100)</f>
        <v>DECREASE/INCREASE RECEIVABLES</v>
      </c>
      <c r="D177" s="602" t="s">
        <v>867</v>
      </c>
      <c r="E177" s="601" t="s">
        <v>714</v>
      </c>
      <c r="F177" s="601" t="s">
        <v>551</v>
      </c>
      <c r="G177" s="601">
        <v>-157040</v>
      </c>
      <c r="H177" s="601">
        <v>-11860</v>
      </c>
      <c r="I177" s="601">
        <v>39906</v>
      </c>
      <c r="J177" s="601">
        <v>-154465</v>
      </c>
      <c r="K177" s="601">
        <v>-61920</v>
      </c>
      <c r="L177" s="601">
        <v>-379128</v>
      </c>
    </row>
    <row r="178" spans="1:12" hidden="1">
      <c r="A178" s="601" t="s">
        <v>868</v>
      </c>
      <c r="B178" s="601" t="str">
        <f t="shared" si="2"/>
        <v xml:space="preserve">INDUSTRI </v>
      </c>
      <c r="C178" s="601" t="str">
        <f>MID(Table3[[#This Row],[Statement Code]],FIND("- ",Table3[[#This Row],[Statement Code]])+2,100)</f>
        <v>DECREASE/INCREASE INVENTORIES</v>
      </c>
      <c r="D178" s="602" t="s">
        <v>869</v>
      </c>
      <c r="E178" s="601" t="s">
        <v>714</v>
      </c>
      <c r="F178" s="601" t="s">
        <v>551</v>
      </c>
      <c r="G178" s="601">
        <v>-77414</v>
      </c>
      <c r="H178" s="601">
        <v>238376</v>
      </c>
      <c r="I178" s="601">
        <v>109156</v>
      </c>
      <c r="J178" s="601">
        <v>-761290</v>
      </c>
      <c r="K178" s="601">
        <v>-206045</v>
      </c>
      <c r="L178" s="601">
        <v>144536</v>
      </c>
    </row>
    <row r="179" spans="1:12" hidden="1">
      <c r="A179" s="601" t="s">
        <v>870</v>
      </c>
      <c r="B179" s="601" t="str">
        <f t="shared" si="2"/>
        <v xml:space="preserve">INDUSTRI </v>
      </c>
      <c r="C179" s="601" t="str">
        <f>MID(Table3[[#This Row],[Statement Code]],FIND("- ",Table3[[#This Row],[Statement Code]])+2,100)</f>
        <v>DECREASE IN INVESTMENTS</v>
      </c>
      <c r="D179" s="602" t="s">
        <v>871</v>
      </c>
      <c r="E179" s="601" t="s">
        <v>714</v>
      </c>
      <c r="F179" s="601" t="s">
        <v>551</v>
      </c>
      <c r="G179" s="601">
        <v>74096</v>
      </c>
      <c r="H179" s="601">
        <v>157731</v>
      </c>
      <c r="I179" s="601">
        <v>3752379</v>
      </c>
      <c r="J179" s="601">
        <v>79238</v>
      </c>
      <c r="K179" s="601">
        <v>86475</v>
      </c>
      <c r="L179" s="601">
        <v>217916</v>
      </c>
    </row>
    <row r="180" spans="1:12" hidden="1">
      <c r="A180" s="601" t="s">
        <v>872</v>
      </c>
      <c r="B180" s="601" t="str">
        <f t="shared" si="2"/>
        <v xml:space="preserve">INDITEX </v>
      </c>
      <c r="C180" s="601" t="str">
        <f>MID(Table3[[#This Row],[Statement Code]],FIND("- ",Table3[[#This Row],[Statement Code]])+2,100)</f>
        <v>MARKET VALUE</v>
      </c>
      <c r="D180" s="602" t="s">
        <v>873</v>
      </c>
      <c r="E180" s="601" t="s">
        <v>714</v>
      </c>
      <c r="F180" s="601" t="s">
        <v>551</v>
      </c>
      <c r="G180" s="601">
        <v>92062.45</v>
      </c>
      <c r="H180" s="601">
        <v>91776.42</v>
      </c>
      <c r="I180" s="601">
        <v>115229.12</v>
      </c>
      <c r="J180" s="601">
        <v>68960.62</v>
      </c>
      <c r="K180" s="601">
        <v>118751.36</v>
      </c>
      <c r="L180" s="601">
        <v>177345.42</v>
      </c>
    </row>
    <row r="181" spans="1:12" hidden="1">
      <c r="A181" s="601" t="s">
        <v>874</v>
      </c>
      <c r="B181" s="601" t="str">
        <f t="shared" si="2"/>
        <v xml:space="preserve">INDITEX </v>
      </c>
      <c r="C181" s="601" t="str">
        <f>MID(Table3[[#This Row],[Statement Code]],FIND("- ",Table3[[#This Row],[Statement Code]])+2,100)</f>
        <v>PER</v>
      </c>
      <c r="D181" s="602" t="s">
        <v>875</v>
      </c>
      <c r="E181" s="601" t="s">
        <v>714</v>
      </c>
      <c r="F181" s="601" t="s">
        <v>717</v>
      </c>
      <c r="G181" s="601">
        <v>23.2</v>
      </c>
      <c r="H181" s="601">
        <v>40.799999999999997</v>
      </c>
      <c r="I181" s="601">
        <v>38.1</v>
      </c>
      <c r="J181" s="601">
        <v>18.2</v>
      </c>
      <c r="K181" s="601">
        <v>22.9</v>
      </c>
      <c r="L181" s="601">
        <v>28.3</v>
      </c>
    </row>
    <row r="182" spans="1:12" hidden="1">
      <c r="A182" s="601" t="s">
        <v>876</v>
      </c>
      <c r="B182" s="601" t="str">
        <f t="shared" si="2"/>
        <v xml:space="preserve">INDITEX </v>
      </c>
      <c r="C182" s="601" t="str">
        <f>MID(Table3[[#This Row],[Statement Code]],FIND("- ",Table3[[#This Row],[Statement Code]])+2,100)</f>
        <v>12MTH FORWARD EPS</v>
      </c>
      <c r="D182" s="602" t="s">
        <v>877</v>
      </c>
      <c r="E182" s="601" t="s">
        <v>714</v>
      </c>
      <c r="F182" s="601" t="s">
        <v>551</v>
      </c>
      <c r="G182" s="601">
        <v>1.39</v>
      </c>
      <c r="H182" s="601">
        <v>1.032</v>
      </c>
      <c r="I182" s="601">
        <v>1.4750000000000001</v>
      </c>
      <c r="J182" s="601">
        <v>1.3169999999999999</v>
      </c>
      <c r="K182" s="601">
        <v>1.865</v>
      </c>
      <c r="L182" s="601">
        <v>2.2610000000000001</v>
      </c>
    </row>
    <row r="183" spans="1:12" hidden="1">
      <c r="A183" s="601" t="s">
        <v>878</v>
      </c>
      <c r="B183" s="601" t="str">
        <f t="shared" si="2"/>
        <v xml:space="preserve">INDITEX </v>
      </c>
      <c r="C183" s="601" t="e">
        <f>MID(Table3[[#This Row],[Statement Code]],FIND("- ",Table3[[#This Row],[Statement Code]])+2,100)</f>
        <v>#VALUE!</v>
      </c>
      <c r="D183" s="602" t="s">
        <v>879</v>
      </c>
      <c r="E183" s="601" t="s">
        <v>714</v>
      </c>
      <c r="F183" s="601" t="s">
        <v>717</v>
      </c>
      <c r="G183" s="601">
        <v>4.7889999999999997</v>
      </c>
      <c r="H183" s="601">
        <v>3.6429999999999998</v>
      </c>
      <c r="I183" s="601">
        <v>4.1639999999999997</v>
      </c>
      <c r="J183" s="601">
        <v>5.9829999999999997</v>
      </c>
      <c r="K183" s="601">
        <v>4.88</v>
      </c>
      <c r="L183" s="601">
        <v>3.9929999999999999</v>
      </c>
    </row>
    <row r="184" spans="1:12" hidden="1">
      <c r="A184" s="601" t="s">
        <v>878</v>
      </c>
      <c r="B184" s="601" t="str">
        <f t="shared" si="2"/>
        <v xml:space="preserve">INDITEX </v>
      </c>
      <c r="C184" s="601" t="e">
        <f>MID(Table3[[#This Row],[Statement Code]],FIND("- ",Table3[[#This Row],[Statement Code]])+2,100)</f>
        <v>#VALUE!</v>
      </c>
      <c r="D184" s="602" t="s">
        <v>880</v>
      </c>
      <c r="E184" s="601" t="s">
        <v>714</v>
      </c>
      <c r="F184" s="601" t="s">
        <v>23</v>
      </c>
      <c r="G184" s="601">
        <v>14.698</v>
      </c>
      <c r="H184" s="601">
        <v>21.385000000000002</v>
      </c>
      <c r="I184" s="601">
        <v>19.209</v>
      </c>
      <c r="J184" s="601">
        <v>12.446999999999999</v>
      </c>
      <c r="K184" s="601">
        <v>15.398999999999999</v>
      </c>
      <c r="L184" s="601">
        <v>18.972000000000001</v>
      </c>
    </row>
    <row r="185" spans="1:12" hidden="1">
      <c r="A185" s="601" t="s">
        <v>878</v>
      </c>
      <c r="B185" s="601" t="str">
        <f t="shared" si="2"/>
        <v xml:space="preserve">INDITEX </v>
      </c>
      <c r="C185" s="601" t="e">
        <f>MID(Table3[[#This Row],[Statement Code]],FIND("- ",Table3[[#This Row],[Statement Code]])+2,100)</f>
        <v>#VALUE!</v>
      </c>
      <c r="D185" s="602" t="s">
        <v>881</v>
      </c>
      <c r="E185" s="601" t="s">
        <v>714</v>
      </c>
      <c r="F185" s="601" t="s">
        <v>23</v>
      </c>
      <c r="G185" s="601">
        <v>9.3529999999999998</v>
      </c>
      <c r="H185" s="601">
        <v>12.18</v>
      </c>
      <c r="I185" s="601">
        <v>12.531000000000001</v>
      </c>
      <c r="J185" s="601">
        <v>8.0169999999999995</v>
      </c>
      <c r="K185" s="601">
        <v>10.603999999999999</v>
      </c>
      <c r="L185" s="601">
        <v>11.007</v>
      </c>
    </row>
    <row r="186" spans="1:12" hidden="1">
      <c r="A186" s="601" t="s">
        <v>878</v>
      </c>
      <c r="B186" s="601" t="str">
        <f t="shared" si="2"/>
        <v xml:space="preserve">INDITEX </v>
      </c>
      <c r="C186" s="601" t="e">
        <f>MID(Table3[[#This Row],[Statement Code]],FIND("- ",Table3[[#This Row],[Statement Code]])+2,100)</f>
        <v>#VALUE!</v>
      </c>
      <c r="D186" s="602" t="s">
        <v>882</v>
      </c>
      <c r="E186" s="601" t="s">
        <v>714</v>
      </c>
      <c r="F186" s="601" t="s">
        <v>717</v>
      </c>
      <c r="G186" s="601">
        <v>4.2930000000000001</v>
      </c>
      <c r="H186" s="601">
        <v>4.3630000000000004</v>
      </c>
      <c r="I186" s="601">
        <v>4.8780000000000001</v>
      </c>
      <c r="J186" s="601">
        <v>6.452</v>
      </c>
      <c r="K186" s="601">
        <v>5.3049999999999997</v>
      </c>
      <c r="L186" s="601">
        <v>3.8290000000000002</v>
      </c>
    </row>
    <row r="187" spans="1:12" hidden="1">
      <c r="A187" s="601" t="s">
        <v>878</v>
      </c>
      <c r="B187" s="601" t="str">
        <f t="shared" si="2"/>
        <v xml:space="preserve">INDITEX </v>
      </c>
      <c r="C187" s="601" t="e">
        <f>MID(Table3[[#This Row],[Statement Code]],FIND("- ",Table3[[#This Row],[Statement Code]])+2,100)</f>
        <v>#VALUE!</v>
      </c>
      <c r="D187" s="602" t="s">
        <v>883</v>
      </c>
      <c r="E187" s="601" t="s">
        <v>714</v>
      </c>
      <c r="F187" s="601" t="s">
        <v>23</v>
      </c>
      <c r="G187" s="601">
        <v>2.6240000000000001</v>
      </c>
      <c r="H187" s="601">
        <v>3.044</v>
      </c>
      <c r="I187" s="601">
        <v>3.4049999999999998</v>
      </c>
      <c r="J187" s="601">
        <v>2.0720000000000001</v>
      </c>
      <c r="K187" s="601">
        <v>2.8159999999999998</v>
      </c>
      <c r="L187" s="601">
        <v>3.7549999999999999</v>
      </c>
    </row>
    <row r="188" spans="1:12" hidden="1">
      <c r="A188" s="601" t="s">
        <v>878</v>
      </c>
      <c r="B188" s="601" t="str">
        <f t="shared" si="2"/>
        <v xml:space="preserve">INDITEX </v>
      </c>
      <c r="C188" s="601" t="e">
        <f>MID(Table3[[#This Row],[Statement Code]],FIND("- ",Table3[[#This Row],[Statement Code]])+2,100)</f>
        <v>#VALUE!</v>
      </c>
      <c r="D188" s="602" t="s">
        <v>884</v>
      </c>
      <c r="E188" s="601" t="s">
        <v>714</v>
      </c>
      <c r="F188" s="601" t="s">
        <v>717</v>
      </c>
      <c r="G188" s="601">
        <v>-0.93300000000000005</v>
      </c>
      <c r="H188" s="601">
        <v>-1.085</v>
      </c>
      <c r="I188" s="601">
        <v>-1.032</v>
      </c>
      <c r="J188" s="601">
        <v>-1.123</v>
      </c>
      <c r="K188" s="601">
        <v>-1.113</v>
      </c>
      <c r="L188" s="601">
        <v>-0.71199999999999997</v>
      </c>
    </row>
    <row r="189" spans="1:12" hidden="1">
      <c r="A189" s="601" t="s">
        <v>878</v>
      </c>
      <c r="B189" s="601" t="str">
        <f t="shared" si="2"/>
        <v xml:space="preserve">INDITEX </v>
      </c>
      <c r="C189" s="601" t="e">
        <f>MID(Table3[[#This Row],[Statement Code]],FIND("- ",Table3[[#This Row],[Statement Code]])+2,100)</f>
        <v>#VALUE!</v>
      </c>
      <c r="D189" s="602" t="s">
        <v>885</v>
      </c>
      <c r="E189" s="601" t="s">
        <v>714</v>
      </c>
      <c r="F189" s="601" t="s">
        <v>717</v>
      </c>
      <c r="G189" s="601">
        <v>-0.10299999999999999</v>
      </c>
      <c r="H189" s="601">
        <v>-9.1999999999999998E-2</v>
      </c>
      <c r="I189" s="601">
        <v>-9.1999999999999998E-2</v>
      </c>
      <c r="J189" s="601">
        <v>-0.155</v>
      </c>
      <c r="K189" s="601">
        <v>-0.112</v>
      </c>
      <c r="L189" s="601">
        <v>-6.9000000000000006E-2</v>
      </c>
    </row>
    <row r="190" spans="1:12" hidden="1">
      <c r="A190" s="601" t="s">
        <v>878</v>
      </c>
      <c r="B190" s="601" t="str">
        <f t="shared" si="2"/>
        <v xml:space="preserve">INDITEX </v>
      </c>
      <c r="C190" s="601" t="e">
        <f>MID(Table3[[#This Row],[Statement Code]],FIND("- ",Table3[[#This Row],[Statement Code]])+2,100)</f>
        <v>#VALUE!</v>
      </c>
      <c r="D190" s="602" t="s">
        <v>886</v>
      </c>
      <c r="E190" s="601" t="s">
        <v>714</v>
      </c>
      <c r="F190" s="601" t="s">
        <v>717</v>
      </c>
      <c r="G190" s="601">
        <v>1.65</v>
      </c>
      <c r="H190" s="601">
        <v>1.61</v>
      </c>
      <c r="I190" s="601">
        <v>1.62</v>
      </c>
      <c r="J190" s="601">
        <v>1.68</v>
      </c>
      <c r="K190" s="601">
        <v>1.85</v>
      </c>
      <c r="L190" s="601">
        <v>2.02</v>
      </c>
    </row>
    <row r="191" spans="1:12" hidden="1">
      <c r="A191" s="601" t="s">
        <v>878</v>
      </c>
      <c r="B191" s="601" t="str">
        <f t="shared" si="2"/>
        <v xml:space="preserve">INDITEX </v>
      </c>
      <c r="C191" s="601" t="e">
        <f>MID(Table3[[#This Row],[Statement Code]],FIND("- ",Table3[[#This Row],[Statement Code]])+2,100)</f>
        <v>#VALUE!</v>
      </c>
      <c r="D191" s="602" t="s">
        <v>887</v>
      </c>
      <c r="E191" s="601" t="s">
        <v>714</v>
      </c>
      <c r="F191" s="601" t="s">
        <v>717</v>
      </c>
      <c r="G191" s="601">
        <v>1</v>
      </c>
      <c r="H191" s="601">
        <v>1</v>
      </c>
      <c r="I191" s="601">
        <v>1</v>
      </c>
      <c r="J191" s="601">
        <v>1</v>
      </c>
      <c r="K191" s="601">
        <v>1</v>
      </c>
      <c r="L191" s="601">
        <v>1</v>
      </c>
    </row>
    <row r="192" spans="1:12" hidden="1">
      <c r="A192" s="601" t="s">
        <v>878</v>
      </c>
      <c r="B192" s="601" t="str">
        <f t="shared" si="2"/>
        <v xml:space="preserve">INDITEX </v>
      </c>
      <c r="C192" s="601" t="e">
        <f>MID(Table3[[#This Row],[Statement Code]],FIND("- ",Table3[[#This Row],[Statement Code]])+2,100)</f>
        <v>#VALUE!</v>
      </c>
      <c r="D192" s="602" t="s">
        <v>888</v>
      </c>
      <c r="E192" s="601" t="s">
        <v>714</v>
      </c>
      <c r="F192" s="601" t="s">
        <v>717</v>
      </c>
      <c r="G192" s="601">
        <v>5.2119999999999997</v>
      </c>
      <c r="H192" s="601">
        <v>5.1059999999999999</v>
      </c>
      <c r="I192" s="601">
        <v>6.2169999999999996</v>
      </c>
      <c r="J192" s="601">
        <v>4.194</v>
      </c>
      <c r="K192" s="601">
        <v>5.9820000000000002</v>
      </c>
      <c r="L192" s="601">
        <v>7.7789999999999999</v>
      </c>
    </row>
    <row r="193" spans="1:12">
      <c r="A193" s="601" t="s">
        <v>889</v>
      </c>
      <c r="B193" s="601" t="str">
        <f t="shared" si="2"/>
        <v xml:space="preserve">INDITEX </v>
      </c>
      <c r="C193" s="601" t="str">
        <f>MID(Table3[[#This Row],[Statement Code]],FIND("- ",Table3[[#This Row],[Statement Code]])+2,100)</f>
        <v>12MTH TRAILING EPS</v>
      </c>
      <c r="D193" s="602" t="s">
        <v>890</v>
      </c>
      <c r="E193" s="601" t="s">
        <v>714</v>
      </c>
      <c r="F193" s="601" t="s">
        <v>551</v>
      </c>
      <c r="G193" s="601">
        <v>1.292</v>
      </c>
      <c r="H193" s="601">
        <v>0.86599999999999999</v>
      </c>
      <c r="I193" s="601">
        <v>1.0409999999999999</v>
      </c>
      <c r="J193" s="601">
        <v>1.1910000000000001</v>
      </c>
      <c r="K193" s="601">
        <v>1.6539999999999999</v>
      </c>
      <c r="L193" s="601">
        <v>2.0470000000000002</v>
      </c>
    </row>
    <row r="194" spans="1:12" hidden="1">
      <c r="A194" s="601" t="s">
        <v>891</v>
      </c>
      <c r="B194" s="601" t="str">
        <f t="shared" si="2"/>
        <v xml:space="preserve">INDITEX </v>
      </c>
      <c r="C194" s="601" t="str">
        <f>MID(Table3[[#This Row],[Statement Code]],FIND("- ",Table3[[#This Row],[Statement Code]])+2,100)</f>
        <v>DIV.PER SHR.</v>
      </c>
      <c r="D194" s="602" t="s">
        <v>892</v>
      </c>
      <c r="E194" s="601" t="s">
        <v>714</v>
      </c>
      <c r="F194" s="601" t="s">
        <v>551</v>
      </c>
      <c r="G194" s="601">
        <v>1.02</v>
      </c>
      <c r="H194" s="601">
        <v>0.42</v>
      </c>
      <c r="I194" s="601">
        <v>0.62</v>
      </c>
      <c r="J194" s="601">
        <v>0.53</v>
      </c>
      <c r="K194" s="601">
        <v>1.19</v>
      </c>
      <c r="L194" s="601">
        <v>1.35</v>
      </c>
    </row>
    <row r="195" spans="1:12" hidden="1">
      <c r="A195" s="601" t="s">
        <v>878</v>
      </c>
      <c r="B195" s="601" t="str">
        <f t="shared" ref="B195:B258" si="3">LEFT(A195,FIND(" ",A195))</f>
        <v xml:space="preserve">INDITEX </v>
      </c>
      <c r="C195" s="601" t="e">
        <f>MID(Table3[[#This Row],[Statement Code]],FIND("- ",Table3[[#This Row],[Statement Code]])+2,100)</f>
        <v>#VALUE!</v>
      </c>
      <c r="D195" s="602" t="s">
        <v>893</v>
      </c>
      <c r="E195" s="601" t="s">
        <v>714</v>
      </c>
      <c r="F195" s="601" t="s">
        <v>717</v>
      </c>
      <c r="G195" s="601">
        <v>4.056</v>
      </c>
      <c r="H195" s="601">
        <v>3.3639999999999999</v>
      </c>
      <c r="I195" s="601">
        <v>3.468</v>
      </c>
      <c r="J195" s="601">
        <v>5.33</v>
      </c>
      <c r="K195" s="601">
        <v>4.1719999999999997</v>
      </c>
      <c r="L195" s="601">
        <v>3.5270000000000001</v>
      </c>
    </row>
    <row r="196" spans="1:12" hidden="1">
      <c r="A196" s="601" t="s">
        <v>876</v>
      </c>
      <c r="B196" s="601" t="str">
        <f t="shared" si="3"/>
        <v xml:space="preserve">INDITEX </v>
      </c>
      <c r="C196" s="601" t="str">
        <f>MID(Table3[[#This Row],[Statement Code]],FIND("- ",Table3[[#This Row],[Statement Code]])+2,100)</f>
        <v>12MTH FORWARD EPS</v>
      </c>
      <c r="D196" s="602" t="s">
        <v>877</v>
      </c>
      <c r="E196" s="601" t="s">
        <v>714</v>
      </c>
      <c r="F196" s="601" t="s">
        <v>551</v>
      </c>
      <c r="G196" s="601">
        <v>1.39</v>
      </c>
      <c r="H196" s="601">
        <v>1.032</v>
      </c>
      <c r="I196" s="601">
        <v>1.4750000000000001</v>
      </c>
      <c r="J196" s="601">
        <v>1.3169999999999999</v>
      </c>
      <c r="K196" s="601">
        <v>1.865</v>
      </c>
      <c r="L196" s="601">
        <v>2.2610000000000001</v>
      </c>
    </row>
    <row r="197" spans="1:12" hidden="1">
      <c r="A197" s="601" t="s">
        <v>874</v>
      </c>
      <c r="B197" s="601" t="str">
        <f t="shared" si="3"/>
        <v xml:space="preserve">INDITEX </v>
      </c>
      <c r="C197" s="601" t="str">
        <f>MID(Table3[[#This Row],[Statement Code]],FIND("- ",Table3[[#This Row],[Statement Code]])+2,100)</f>
        <v>PER</v>
      </c>
      <c r="D197" s="602" t="s">
        <v>875</v>
      </c>
      <c r="E197" s="601" t="s">
        <v>714</v>
      </c>
      <c r="F197" s="601" t="s">
        <v>717</v>
      </c>
      <c r="G197" s="601">
        <v>23.2</v>
      </c>
      <c r="H197" s="601">
        <v>40.799999999999997</v>
      </c>
      <c r="I197" s="601">
        <v>38.1</v>
      </c>
      <c r="J197" s="601">
        <v>18.2</v>
      </c>
      <c r="K197" s="601">
        <v>22.9</v>
      </c>
      <c r="L197" s="601">
        <v>28.3</v>
      </c>
    </row>
    <row r="198" spans="1:12" hidden="1">
      <c r="A198" s="601" t="s">
        <v>872</v>
      </c>
      <c r="B198" s="601" t="str">
        <f t="shared" si="3"/>
        <v xml:space="preserve">INDITEX </v>
      </c>
      <c r="C198" s="601" t="str">
        <f>MID(Table3[[#This Row],[Statement Code]],FIND("- ",Table3[[#This Row],[Statement Code]])+2,100)</f>
        <v>MARKET VALUE</v>
      </c>
      <c r="D198" s="602" t="s">
        <v>873</v>
      </c>
      <c r="E198" s="601" t="s">
        <v>714</v>
      </c>
      <c r="F198" s="601" t="s">
        <v>551</v>
      </c>
      <c r="G198" s="601">
        <v>92062.45</v>
      </c>
      <c r="H198" s="601">
        <v>91776.42</v>
      </c>
      <c r="I198" s="601">
        <v>115229.12</v>
      </c>
      <c r="J198" s="601">
        <v>68960.62</v>
      </c>
      <c r="K198" s="601">
        <v>118751.36</v>
      </c>
      <c r="L198" s="601">
        <v>177345.42</v>
      </c>
    </row>
    <row r="199" spans="1:12" hidden="1">
      <c r="A199" s="601" t="s">
        <v>894</v>
      </c>
      <c r="B199" s="601" t="str">
        <f t="shared" si="3"/>
        <v xml:space="preserve">INDITEX </v>
      </c>
      <c r="C199" s="601" t="str">
        <f>MID(Table3[[#This Row],[Statement Code]],FIND("- ",Table3[[#This Row],[Statement Code]])+2,100)</f>
        <v>EARNINGS PER SHR</v>
      </c>
      <c r="D199" s="602" t="s">
        <v>895</v>
      </c>
      <c r="E199" s="601" t="s">
        <v>714</v>
      </c>
      <c r="F199" s="601" t="s">
        <v>551</v>
      </c>
      <c r="G199" s="601">
        <v>1.27</v>
      </c>
      <c r="H199" s="601">
        <v>0.72</v>
      </c>
      <c r="I199" s="601">
        <v>0.97</v>
      </c>
      <c r="J199" s="601">
        <v>1.21</v>
      </c>
      <c r="K199" s="601">
        <v>1.66</v>
      </c>
      <c r="L199" s="601">
        <v>2.0099999999999998</v>
      </c>
    </row>
    <row r="200" spans="1:12" hidden="1">
      <c r="A200" s="601" t="s">
        <v>878</v>
      </c>
      <c r="B200" s="601" t="str">
        <f t="shared" si="3"/>
        <v xml:space="preserve">INDITEX </v>
      </c>
      <c r="C200" s="601" t="e">
        <f>MID(Table3[[#This Row],[Statement Code]],FIND("- ",Table3[[#This Row],[Statement Code]])+2,100)</f>
        <v>#VALUE!</v>
      </c>
      <c r="D200" s="602" t="s">
        <v>896</v>
      </c>
      <c r="E200" s="601" t="s">
        <v>714</v>
      </c>
      <c r="F200" s="601" t="s">
        <v>23</v>
      </c>
      <c r="G200" s="601">
        <v>0.77</v>
      </c>
      <c r="H200" s="601">
        <v>0.87</v>
      </c>
      <c r="I200" s="601">
        <v>0.87</v>
      </c>
      <c r="J200" s="601">
        <v>0.9</v>
      </c>
      <c r="K200" s="601">
        <v>0.88</v>
      </c>
      <c r="L200" s="601">
        <v>0.88</v>
      </c>
    </row>
    <row r="201" spans="1:12" hidden="1">
      <c r="A201" s="601" t="s">
        <v>878</v>
      </c>
      <c r="B201" s="601" t="str">
        <f t="shared" si="3"/>
        <v xml:space="preserve">INDITEX </v>
      </c>
      <c r="C201" s="601" t="e">
        <f>MID(Table3[[#This Row],[Statement Code]],FIND("- ",Table3[[#This Row],[Statement Code]])+2,100)</f>
        <v>#VALUE!</v>
      </c>
      <c r="D201" s="602" t="s">
        <v>897</v>
      </c>
      <c r="E201" s="601" t="s">
        <v>714</v>
      </c>
      <c r="F201" s="601" t="s">
        <v>23</v>
      </c>
      <c r="G201" s="601">
        <v>0.18579999999999999</v>
      </c>
      <c r="H201" s="601">
        <v>0.29270000000000002</v>
      </c>
      <c r="I201" s="601">
        <v>0.31019999999999998</v>
      </c>
      <c r="J201" s="601">
        <v>0.3352</v>
      </c>
      <c r="K201" s="601">
        <v>0.33679999999999999</v>
      </c>
      <c r="L201" s="601">
        <v>0.33610000000000001</v>
      </c>
    </row>
    <row r="202" spans="1:12" hidden="1">
      <c r="A202" s="601" t="s">
        <v>740</v>
      </c>
      <c r="B202" s="601" t="str">
        <f t="shared" si="3"/>
        <v xml:space="preserve">INDUSTRI </v>
      </c>
      <c r="C202" s="601" t="str">
        <f>MID(Table3[[#This Row],[Statement Code]],FIND("- ",Table3[[#This Row],[Statement Code]])+2,100)</f>
        <v>ACCOUNTS PAYABLE</v>
      </c>
      <c r="D202" s="602" t="s">
        <v>898</v>
      </c>
      <c r="E202" s="601" t="s">
        <v>714</v>
      </c>
      <c r="F202" s="601" t="s">
        <v>551</v>
      </c>
      <c r="G202" s="601">
        <v>4141642</v>
      </c>
      <c r="H202" s="601">
        <v>4726013</v>
      </c>
      <c r="I202" s="601">
        <v>4032898</v>
      </c>
      <c r="J202" s="601">
        <v>4649987</v>
      </c>
      <c r="K202" s="601">
        <v>4851126</v>
      </c>
      <c r="L202" s="601">
        <v>5659132</v>
      </c>
    </row>
    <row r="203" spans="1:12" hidden="1">
      <c r="A203" s="601" t="s">
        <v>742</v>
      </c>
      <c r="B203" s="601" t="str">
        <f t="shared" si="3"/>
        <v xml:space="preserve">INDUSTRI </v>
      </c>
      <c r="C203" s="601" t="str">
        <f>MID(Table3[[#This Row],[Statement Code]],FIND("- ",Table3[[#This Row],[Statement Code]])+2,100)</f>
        <v>AMORTIZATION OF DEFERRED CHARG</v>
      </c>
      <c r="D203" s="602" t="s">
        <v>899</v>
      </c>
      <c r="E203" s="601" t="s">
        <v>714</v>
      </c>
      <c r="F203" s="601" t="s">
        <v>551</v>
      </c>
      <c r="G203" s="601">
        <v>0</v>
      </c>
      <c r="H203" s="601">
        <v>0</v>
      </c>
      <c r="I203" s="601">
        <v>0</v>
      </c>
      <c r="J203" s="601">
        <v>0</v>
      </c>
      <c r="K203" s="601">
        <v>0</v>
      </c>
      <c r="L203" s="601">
        <v>0</v>
      </c>
    </row>
    <row r="204" spans="1:12" hidden="1">
      <c r="A204" s="601" t="s">
        <v>744</v>
      </c>
      <c r="B204" s="601" t="str">
        <f t="shared" si="3"/>
        <v xml:space="preserve">INDUSTRI </v>
      </c>
      <c r="C204" s="601" t="str">
        <f>MID(Table3[[#This Row],[Statement Code]],FIND("- ",Table3[[#This Row],[Statement Code]])+2,100)</f>
        <v>AMORTIZATION-INTANGIBLE ASSETS</v>
      </c>
      <c r="D204" s="602" t="s">
        <v>900</v>
      </c>
      <c r="E204" s="601" t="s">
        <v>714</v>
      </c>
      <c r="F204" s="601" t="s">
        <v>551</v>
      </c>
      <c r="G204" s="601" t="s">
        <v>23</v>
      </c>
      <c r="H204" s="601" t="s">
        <v>23</v>
      </c>
      <c r="I204" s="601">
        <v>214791</v>
      </c>
      <c r="J204" s="601">
        <v>356071</v>
      </c>
      <c r="K204" s="601">
        <v>345899</v>
      </c>
      <c r="L204" s="601">
        <v>429160</v>
      </c>
    </row>
    <row r="205" spans="1:12" hidden="1">
      <c r="A205" s="601" t="s">
        <v>746</v>
      </c>
      <c r="B205" s="601" t="str">
        <f t="shared" si="3"/>
        <v xml:space="preserve">INDUSTRI </v>
      </c>
      <c r="C205" s="601" t="str">
        <f>MID(Table3[[#This Row],[Statement Code]],FIND("- ",Table3[[#This Row],[Statement Code]])+2,100)</f>
        <v>AMORTIZATION OF INTANGIBLES</v>
      </c>
      <c r="D205" s="602" t="s">
        <v>901</v>
      </c>
      <c r="E205" s="601" t="s">
        <v>714</v>
      </c>
      <c r="F205" s="601" t="s">
        <v>551</v>
      </c>
      <c r="G205" s="601">
        <v>174734</v>
      </c>
      <c r="H205" s="601">
        <v>188566</v>
      </c>
      <c r="I205" s="601">
        <v>214791</v>
      </c>
      <c r="J205" s="601">
        <v>356071</v>
      </c>
      <c r="K205" s="601">
        <v>345899</v>
      </c>
      <c r="L205" s="601">
        <v>429160</v>
      </c>
    </row>
    <row r="206" spans="1:12" hidden="1">
      <c r="A206" s="601" t="s">
        <v>748</v>
      </c>
      <c r="B206" s="601" t="str">
        <f t="shared" si="3"/>
        <v xml:space="preserve">INDUSTRI </v>
      </c>
      <c r="C206" s="601" t="str">
        <f>MID(Table3[[#This Row],[Statement Code]],FIND("- ",Table3[[#This Row],[Statement Code]])+2,100)</f>
        <v>BOOK VALUE-OUT SHARES-FISCAL</v>
      </c>
      <c r="D206" s="602" t="s">
        <v>902</v>
      </c>
      <c r="E206" s="601" t="s">
        <v>714</v>
      </c>
      <c r="F206" s="601" t="s">
        <v>551</v>
      </c>
      <c r="G206" s="601">
        <v>5.2039999999999997</v>
      </c>
      <c r="H206" s="601">
        <v>5.6790000000000003</v>
      </c>
      <c r="I206" s="601">
        <v>5.4710000000000001</v>
      </c>
      <c r="J206" s="601">
        <v>5.07</v>
      </c>
      <c r="K206" s="601">
        <v>5.835</v>
      </c>
      <c r="L206" s="601">
        <v>6.6580000000000004</v>
      </c>
    </row>
    <row r="207" spans="1:12" hidden="1">
      <c r="A207" s="601" t="s">
        <v>750</v>
      </c>
      <c r="B207" s="601" t="str">
        <f t="shared" si="3"/>
        <v xml:space="preserve">INDUSTRI </v>
      </c>
      <c r="C207" s="601" t="str">
        <f>MID(Table3[[#This Row],[Statement Code]],FIND("- ",Table3[[#This Row],[Statement Code]])+2,100)</f>
        <v>BOOK VALUE PER SHARE</v>
      </c>
      <c r="D207" s="602" t="s">
        <v>903</v>
      </c>
      <c r="E207" s="601" t="s">
        <v>714</v>
      </c>
      <c r="F207" s="601" t="s">
        <v>551</v>
      </c>
      <c r="G207" s="601">
        <v>5.2039999999999997</v>
      </c>
      <c r="H207" s="601">
        <v>5.6790000000000003</v>
      </c>
      <c r="I207" s="601">
        <v>5.4710000000000001</v>
      </c>
      <c r="J207" s="601">
        <v>5.07</v>
      </c>
      <c r="K207" s="601">
        <v>5.835</v>
      </c>
      <c r="L207" s="601">
        <v>6.6580000000000004</v>
      </c>
    </row>
    <row r="208" spans="1:12">
      <c r="A208" s="601" t="s">
        <v>752</v>
      </c>
      <c r="B208" s="601" t="str">
        <f t="shared" si="3"/>
        <v xml:space="preserve">INDUSTRI </v>
      </c>
      <c r="C208" s="601" t="str">
        <f>MID(Table3[[#This Row],[Statement Code]],FIND("- ",Table3[[#This Row],[Statement Code]])+2,100)</f>
        <v>CAPITAL EXPENDITURES</v>
      </c>
      <c r="D208" s="602" t="s">
        <v>904</v>
      </c>
      <c r="E208" s="601" t="s">
        <v>714</v>
      </c>
      <c r="F208" s="601" t="s">
        <v>551</v>
      </c>
      <c r="G208" s="601">
        <v>1538324</v>
      </c>
      <c r="H208" s="601">
        <v>1083959</v>
      </c>
      <c r="I208" s="601">
        <v>548127</v>
      </c>
      <c r="J208" s="601">
        <v>668009</v>
      </c>
      <c r="K208" s="601">
        <v>1096414</v>
      </c>
      <c r="L208" s="601">
        <v>1555427</v>
      </c>
    </row>
    <row r="209" spans="1:12" hidden="1">
      <c r="A209" s="601" t="s">
        <v>754</v>
      </c>
      <c r="B209" s="601" t="str">
        <f t="shared" si="3"/>
        <v xml:space="preserve">INDUSTRI </v>
      </c>
      <c r="C209" s="601" t="str">
        <f>MID(Table3[[#This Row],[Statement Code]],FIND("- ",Table3[[#This Row],[Statement Code]])+2,100)</f>
        <v>CASH</v>
      </c>
      <c r="D209" s="602" t="s">
        <v>905</v>
      </c>
      <c r="E209" s="601" t="s">
        <v>714</v>
      </c>
      <c r="F209" s="601" t="s">
        <v>551</v>
      </c>
      <c r="G209" s="601">
        <v>5381370</v>
      </c>
      <c r="H209" s="601">
        <v>5668844</v>
      </c>
      <c r="I209" s="601">
        <v>8683172</v>
      </c>
      <c r="J209" s="601">
        <v>7042183</v>
      </c>
      <c r="K209" s="601">
        <v>5936864</v>
      </c>
      <c r="L209" s="601">
        <v>7790479</v>
      </c>
    </row>
    <row r="210" spans="1:12" hidden="1">
      <c r="A210" s="601" t="s">
        <v>756</v>
      </c>
      <c r="B210" s="601" t="str">
        <f t="shared" si="3"/>
        <v xml:space="preserve">INDUSTRI </v>
      </c>
      <c r="C210" s="601" t="str">
        <f>MID(Table3[[#This Row],[Statement Code]],FIND("- ",Table3[[#This Row],[Statement Code]])+2,100)</f>
        <v>CASH - GENERIC</v>
      </c>
      <c r="D210" s="602" t="s">
        <v>906</v>
      </c>
      <c r="E210" s="601" t="s">
        <v>714</v>
      </c>
      <c r="F210" s="601" t="s">
        <v>551</v>
      </c>
      <c r="G210" s="601">
        <v>7536794</v>
      </c>
      <c r="H210" s="601">
        <v>9621618</v>
      </c>
      <c r="I210" s="601">
        <v>8892094</v>
      </c>
      <c r="J210" s="601">
        <v>9445412</v>
      </c>
      <c r="K210" s="601">
        <v>10773044</v>
      </c>
      <c r="L210" s="601">
        <v>12706920</v>
      </c>
    </row>
    <row r="211" spans="1:12">
      <c r="A211" s="601" t="s">
        <v>758</v>
      </c>
      <c r="B211" s="601" t="str">
        <f t="shared" si="3"/>
        <v xml:space="preserve">INDUSTRI </v>
      </c>
      <c r="C211" s="601" t="str">
        <f>MID(Table3[[#This Row],[Statement Code]],FIND("- ",Table3[[#This Row],[Statement Code]])+2,100)</f>
        <v>CASH &amp; SHORT TERM INVESTMENTS</v>
      </c>
      <c r="D211" s="602" t="s">
        <v>907</v>
      </c>
      <c r="E211" s="601" t="s">
        <v>714</v>
      </c>
      <c r="F211" s="601" t="s">
        <v>551</v>
      </c>
      <c r="G211" s="601">
        <v>7536794</v>
      </c>
      <c r="H211" s="601">
        <v>9621618</v>
      </c>
      <c r="I211" s="601">
        <v>8892094</v>
      </c>
      <c r="J211" s="601">
        <v>9445412</v>
      </c>
      <c r="K211" s="601">
        <v>10773044</v>
      </c>
      <c r="L211" s="601">
        <v>12706920</v>
      </c>
    </row>
    <row r="212" spans="1:12" hidden="1">
      <c r="A212" s="601" t="s">
        <v>760</v>
      </c>
      <c r="B212" s="601" t="str">
        <f t="shared" si="3"/>
        <v xml:space="preserve">INDUSTRI </v>
      </c>
      <c r="C212" s="601" t="str">
        <f>MID(Table3[[#This Row],[Statement Code]],FIND("- ",Table3[[#This Row],[Statement Code]])+2,100)</f>
        <v>CASH DIVIDENDS PAID - TOTAL</v>
      </c>
      <c r="D212" s="602" t="s">
        <v>908</v>
      </c>
      <c r="E212" s="601" t="s">
        <v>714</v>
      </c>
      <c r="F212" s="601" t="s">
        <v>551</v>
      </c>
      <c r="G212" s="601">
        <v>2582306</v>
      </c>
      <c r="H212" s="601">
        <v>3250691</v>
      </c>
      <c r="I212" s="601">
        <v>1279354</v>
      </c>
      <c r="J212" s="601">
        <v>2198613</v>
      </c>
      <c r="K212" s="601">
        <v>3110955</v>
      </c>
      <c r="L212" s="601">
        <v>4162631</v>
      </c>
    </row>
    <row r="213" spans="1:12" hidden="1">
      <c r="A213" s="601" t="s">
        <v>762</v>
      </c>
      <c r="B213" s="601" t="str">
        <f t="shared" si="3"/>
        <v xml:space="preserve">INDUSTRI </v>
      </c>
      <c r="C213" s="601" t="str">
        <f>MID(Table3[[#This Row],[Statement Code]],FIND("- ",Table3[[#This Row],[Statement Code]])+2,100)</f>
        <v>CASH FLOW PER SHARE</v>
      </c>
      <c r="D213" s="602" t="s">
        <v>909</v>
      </c>
      <c r="E213" s="601" t="s">
        <v>714</v>
      </c>
      <c r="F213" s="601" t="s">
        <v>551</v>
      </c>
      <c r="G213" s="601">
        <v>1.5549999999999999</v>
      </c>
      <c r="H213" s="601">
        <v>2.5489999999999999</v>
      </c>
      <c r="I213" s="601">
        <v>1.456</v>
      </c>
      <c r="J213" s="601">
        <v>2.1040000000000001</v>
      </c>
      <c r="K213" s="601">
        <v>2.5190000000000001</v>
      </c>
      <c r="L213" s="601">
        <v>3.1160000000000001</v>
      </c>
    </row>
    <row r="214" spans="1:12" hidden="1">
      <c r="A214" s="601" t="s">
        <v>764</v>
      </c>
      <c r="B214" s="601" t="str">
        <f t="shared" si="3"/>
        <v xml:space="preserve">INDUSTRI </v>
      </c>
      <c r="C214" s="601" t="str">
        <f>MID(Table3[[#This Row],[Statement Code]],FIND("- ",Table3[[#This Row],[Statement Code]])+2,100)</f>
        <v>CASH FLOW PER SHARE - FIS YR</v>
      </c>
      <c r="D214" s="602" t="s">
        <v>910</v>
      </c>
      <c r="E214" s="601" t="s">
        <v>714</v>
      </c>
      <c r="F214" s="601" t="s">
        <v>551</v>
      </c>
      <c r="G214" s="601">
        <v>1.5549999999999999</v>
      </c>
      <c r="H214" s="601">
        <v>2.5489999999999999</v>
      </c>
      <c r="I214" s="601">
        <v>1.456</v>
      </c>
      <c r="J214" s="601">
        <v>2.1040000000000001</v>
      </c>
      <c r="K214" s="601">
        <v>2.5190000000000001</v>
      </c>
      <c r="L214" s="601">
        <v>3.1160000000000001</v>
      </c>
    </row>
    <row r="215" spans="1:12" hidden="1">
      <c r="A215" s="601" t="s">
        <v>766</v>
      </c>
      <c r="B215" s="601" t="str">
        <f t="shared" si="3"/>
        <v xml:space="preserve">INDUSTRI </v>
      </c>
      <c r="C215" s="601" t="str">
        <f>MID(Table3[[#This Row],[Statement Code]],FIND("- ",Table3[[#This Row],[Statement Code]])+2,100)</f>
        <v>COMMON DIVIDENDS (CASH)</v>
      </c>
      <c r="D215" s="602" t="s">
        <v>911</v>
      </c>
      <c r="E215" s="601" t="s">
        <v>714</v>
      </c>
      <c r="F215" s="601" t="s">
        <v>551</v>
      </c>
      <c r="G215" s="601">
        <v>2582306</v>
      </c>
      <c r="H215" s="601">
        <v>3250691</v>
      </c>
      <c r="I215" s="601">
        <v>1279354</v>
      </c>
      <c r="J215" s="601">
        <v>2198613</v>
      </c>
      <c r="K215" s="601">
        <v>3110955</v>
      </c>
      <c r="L215" s="601">
        <v>4162631</v>
      </c>
    </row>
    <row r="216" spans="1:12" hidden="1">
      <c r="A216" s="601" t="s">
        <v>768</v>
      </c>
      <c r="B216" s="601" t="str">
        <f t="shared" si="3"/>
        <v xml:space="preserve">INDUSTRI </v>
      </c>
      <c r="C216" s="601" t="str">
        <f>MID(Table3[[#This Row],[Statement Code]],FIND("- ",Table3[[#This Row],[Statement Code]])+2,100)</f>
        <v>COMMON SHAREHOLDERS' EQUITY</v>
      </c>
      <c r="D216" s="602" t="s">
        <v>912</v>
      </c>
      <c r="E216" s="601" t="s">
        <v>714</v>
      </c>
      <c r="F216" s="601" t="s">
        <v>551</v>
      </c>
      <c r="G216" s="601">
        <v>16203830</v>
      </c>
      <c r="H216" s="601">
        <v>17686082</v>
      </c>
      <c r="I216" s="601">
        <v>17042398</v>
      </c>
      <c r="J216" s="601">
        <v>15780468</v>
      </c>
      <c r="K216" s="601">
        <v>18157559</v>
      </c>
      <c r="L216" s="601">
        <v>20726433</v>
      </c>
    </row>
    <row r="217" spans="1:12">
      <c r="A217" s="601" t="s">
        <v>770</v>
      </c>
      <c r="B217" s="601" t="str">
        <f t="shared" si="3"/>
        <v xml:space="preserve">INDUSTRI </v>
      </c>
      <c r="C217" s="601" t="str">
        <f>MID(Table3[[#This Row],[Statement Code]],FIND("- ",Table3[[#This Row],[Statement Code]])+2,100)</f>
        <v>COMMON STOCK</v>
      </c>
      <c r="D217" s="602" t="s">
        <v>913</v>
      </c>
      <c r="E217" s="601" t="s">
        <v>714</v>
      </c>
      <c r="F217" s="601" t="s">
        <v>551</v>
      </c>
      <c r="G217" s="601">
        <v>103956</v>
      </c>
      <c r="H217" s="601">
        <v>111479</v>
      </c>
      <c r="I217" s="601">
        <v>110330</v>
      </c>
      <c r="J217" s="601">
        <v>94284</v>
      </c>
      <c r="K217" s="601">
        <v>100353</v>
      </c>
      <c r="L217" s="601">
        <v>104510</v>
      </c>
    </row>
    <row r="218" spans="1:12" hidden="1">
      <c r="A218" s="601" t="s">
        <v>772</v>
      </c>
      <c r="B218" s="601" t="str">
        <f t="shared" si="3"/>
        <v xml:space="preserve">INDUSTRI </v>
      </c>
      <c r="C218" s="601" t="str">
        <f>MID(Table3[[#This Row],[Statement Code]],FIND("- ",Table3[[#This Row],[Statement Code]])+2,100)</f>
        <v>COST OF GOODS SOLD (EXCL DEP)</v>
      </c>
      <c r="D218" s="602" t="s">
        <v>914</v>
      </c>
      <c r="E218" s="601" t="s">
        <v>714</v>
      </c>
      <c r="F218" s="601" t="s">
        <v>551</v>
      </c>
      <c r="G218" s="601">
        <v>21944622</v>
      </c>
      <c r="H218" s="601">
        <v>23128410</v>
      </c>
      <c r="I218" s="601">
        <v>17596393</v>
      </c>
      <c r="J218" s="601">
        <v>19689225</v>
      </c>
      <c r="K218" s="601">
        <v>24264170</v>
      </c>
      <c r="L218" s="601">
        <v>27684163</v>
      </c>
    </row>
    <row r="219" spans="1:12">
      <c r="A219" s="601" t="s">
        <v>774</v>
      </c>
      <c r="B219" s="601" t="str">
        <f t="shared" si="3"/>
        <v xml:space="preserve">INDUSTRI </v>
      </c>
      <c r="C219" s="601" t="str">
        <f>MID(Table3[[#This Row],[Statement Code]],FIND("- ",Table3[[#This Row],[Statement Code]])+2,100)</f>
        <v>CURRENT ASSETS - TOTAL</v>
      </c>
      <c r="D219" s="602" t="s">
        <v>915</v>
      </c>
      <c r="E219" s="601" t="s">
        <v>714</v>
      </c>
      <c r="F219" s="601" t="s">
        <v>551</v>
      </c>
      <c r="G219" s="601">
        <v>11744791</v>
      </c>
      <c r="H219" s="601">
        <v>13536441</v>
      </c>
      <c r="I219" s="601">
        <v>12860438</v>
      </c>
      <c r="J219" s="601">
        <v>13643038</v>
      </c>
      <c r="K219" s="601">
        <v>15628440</v>
      </c>
      <c r="L219" s="601">
        <v>17806810</v>
      </c>
    </row>
    <row r="220" spans="1:12">
      <c r="A220" s="601" t="s">
        <v>776</v>
      </c>
      <c r="B220" s="601" t="str">
        <f t="shared" si="3"/>
        <v xml:space="preserve">INDUSTRI </v>
      </c>
      <c r="C220" s="601" t="str">
        <f>MID(Table3[[#This Row],[Statement Code]],FIND("- ",Table3[[#This Row],[Statement Code]])+2,100)</f>
        <v>CURRENT LIABILITIES-TOTAL</v>
      </c>
      <c r="D220" s="602" t="s">
        <v>916</v>
      </c>
      <c r="E220" s="601" t="s">
        <v>714</v>
      </c>
      <c r="F220" s="601" t="s">
        <v>551</v>
      </c>
      <c r="G220" s="601">
        <v>5953127</v>
      </c>
      <c r="H220" s="601">
        <v>8664555</v>
      </c>
      <c r="I220" s="601">
        <v>7439030</v>
      </c>
      <c r="J220" s="601">
        <v>8054227</v>
      </c>
      <c r="K220" s="601">
        <v>8686974</v>
      </c>
      <c r="L220" s="601">
        <v>9936280</v>
      </c>
    </row>
    <row r="221" spans="1:12" hidden="1">
      <c r="A221" s="601" t="s">
        <v>778</v>
      </c>
      <c r="B221" s="601" t="str">
        <f t="shared" si="3"/>
        <v xml:space="preserve">INDUSTRI </v>
      </c>
      <c r="C221" s="601" t="str">
        <f>MID(Table3[[#This Row],[Statement Code]],FIND("- ",Table3[[#This Row],[Statement Code]])+2,100)</f>
        <v>DEFERRED TAXES</v>
      </c>
      <c r="D221" s="602" t="s">
        <v>917</v>
      </c>
      <c r="E221" s="601" t="s">
        <v>714</v>
      </c>
      <c r="F221" s="601" t="s">
        <v>551</v>
      </c>
      <c r="G221" s="601">
        <v>-603828</v>
      </c>
      <c r="H221" s="601">
        <v>-1027033</v>
      </c>
      <c r="I221" s="601">
        <v>-1032873</v>
      </c>
      <c r="J221" s="601">
        <v>-822474</v>
      </c>
      <c r="K221" s="601">
        <v>-873288</v>
      </c>
      <c r="L221" s="601">
        <v>-867215</v>
      </c>
    </row>
    <row r="222" spans="1:12" hidden="1">
      <c r="A222" s="601" t="s">
        <v>780</v>
      </c>
      <c r="B222" s="601" t="str">
        <f t="shared" si="3"/>
        <v xml:space="preserve">INDUSTRI </v>
      </c>
      <c r="C222" s="601" t="str">
        <f>MID(Table3[[#This Row],[Statement Code]],FIND("- ",Table3[[#This Row],[Statement Code]])+2,100)</f>
        <v>DEPRECIATION AND DEPLETION</v>
      </c>
      <c r="D222" s="602" t="s">
        <v>918</v>
      </c>
      <c r="E222" s="601" t="s">
        <v>714</v>
      </c>
      <c r="F222" s="601" t="s">
        <v>551</v>
      </c>
      <c r="G222" s="601">
        <v>1216504</v>
      </c>
      <c r="H222" s="601">
        <v>3351497</v>
      </c>
      <c r="I222" s="601">
        <v>3009415</v>
      </c>
      <c r="J222" s="601">
        <v>2500522</v>
      </c>
      <c r="K222" s="601">
        <v>2617729</v>
      </c>
      <c r="L222" s="601">
        <v>2791764</v>
      </c>
    </row>
    <row r="223" spans="1:12">
      <c r="A223" s="601" t="s">
        <v>782</v>
      </c>
      <c r="B223" s="601" t="str">
        <f t="shared" si="3"/>
        <v xml:space="preserve">INDUSTRI </v>
      </c>
      <c r="C223" s="601" t="str">
        <f>MID(Table3[[#This Row],[Statement Code]],FIND("- ",Table3[[#This Row],[Statement Code]])+2,100)</f>
        <v>DEPRECIATION/DEPLETION/AMORT</v>
      </c>
      <c r="D223" s="602" t="s">
        <v>919</v>
      </c>
      <c r="E223" s="601" t="s">
        <v>714</v>
      </c>
      <c r="F223" s="601" t="s">
        <v>551</v>
      </c>
      <c r="G223" s="601">
        <v>1333730</v>
      </c>
      <c r="H223" s="601">
        <v>3349125</v>
      </c>
      <c r="I223" s="601">
        <v>3224206</v>
      </c>
      <c r="J223" s="601">
        <v>2856593</v>
      </c>
      <c r="K223" s="601">
        <v>2963628</v>
      </c>
      <c r="L223" s="601">
        <v>3220925</v>
      </c>
    </row>
    <row r="224" spans="1:12" hidden="1">
      <c r="A224" s="601" t="s">
        <v>784</v>
      </c>
      <c r="B224" s="601" t="str">
        <f t="shared" si="3"/>
        <v xml:space="preserve">INDUSTRI </v>
      </c>
      <c r="C224" s="601" t="str">
        <f>MID(Table3[[#This Row],[Statement Code]],FIND("- ",Table3[[#This Row],[Statement Code]])+2,100)</f>
        <v>DIVIDENDS PER SHARE</v>
      </c>
      <c r="D224" s="602" t="s">
        <v>920</v>
      </c>
      <c r="E224" s="601" t="s">
        <v>714</v>
      </c>
      <c r="F224" s="601" t="s">
        <v>551</v>
      </c>
      <c r="G224" s="601">
        <v>0.97299999999999998</v>
      </c>
      <c r="H224" s="601">
        <v>0.41499999999999998</v>
      </c>
      <c r="I224" s="601">
        <v>0.82199999999999995</v>
      </c>
      <c r="J224" s="601">
        <v>0.93300000000000005</v>
      </c>
      <c r="K224" s="601">
        <v>1.2809999999999999</v>
      </c>
      <c r="L224" s="601">
        <v>1.712</v>
      </c>
    </row>
    <row r="225" spans="1:12" hidden="1">
      <c r="A225" s="601" t="s">
        <v>786</v>
      </c>
      <c r="B225" s="601" t="str">
        <f t="shared" si="3"/>
        <v xml:space="preserve">INDUSTRI </v>
      </c>
      <c r="C225" s="601" t="str">
        <f>MID(Table3[[#This Row],[Statement Code]],FIND("- ",Table3[[#This Row],[Statement Code]])+2,100)</f>
        <v>DIVIDENDS PER SHARE - FISCAL</v>
      </c>
      <c r="D225" s="602" t="s">
        <v>921</v>
      </c>
      <c r="E225" s="601" t="s">
        <v>714</v>
      </c>
      <c r="F225" s="601" t="s">
        <v>551</v>
      </c>
      <c r="G225" s="601">
        <v>0.97299999999999998</v>
      </c>
      <c r="H225" s="601">
        <v>0.41499999999999998</v>
      </c>
      <c r="I225" s="601">
        <v>0.82199999999999995</v>
      </c>
      <c r="J225" s="601">
        <v>0.93300000000000005</v>
      </c>
      <c r="K225" s="601">
        <v>1.2809999999999999</v>
      </c>
      <c r="L225" s="601">
        <v>1.712</v>
      </c>
    </row>
    <row r="226" spans="1:12">
      <c r="A226" s="601" t="s">
        <v>788</v>
      </c>
      <c r="B226" s="601" t="str">
        <f t="shared" si="3"/>
        <v xml:space="preserve">INDUSTRI </v>
      </c>
      <c r="C226" s="601" t="str">
        <f>MID(Table3[[#This Row],[Statement Code]],FIND("- ",Table3[[#This Row],[Statement Code]])+2,100)</f>
        <v>EARNINGS BEF INTEREST &amp; TAXES</v>
      </c>
      <c r="D226" s="602" t="s">
        <v>922</v>
      </c>
      <c r="E226" s="601" t="s">
        <v>714</v>
      </c>
      <c r="F226" s="601" t="s">
        <v>551</v>
      </c>
      <c r="G226" s="601">
        <v>4853850</v>
      </c>
      <c r="H226" s="601">
        <v>5664100</v>
      </c>
      <c r="I226" s="601">
        <v>1755883</v>
      </c>
      <c r="J226" s="601">
        <v>4266835</v>
      </c>
      <c r="K226" s="601">
        <v>5817294</v>
      </c>
      <c r="L226" s="601">
        <v>7859412</v>
      </c>
    </row>
    <row r="227" spans="1:12" hidden="1">
      <c r="A227" s="601" t="s">
        <v>790</v>
      </c>
      <c r="B227" s="601" t="str">
        <f t="shared" si="3"/>
        <v xml:space="preserve">INDUSTRI </v>
      </c>
      <c r="C227" s="601" t="str">
        <f>MID(Table3[[#This Row],[Statement Code]],FIND("- ",Table3[[#This Row],[Statement Code]])+2,100)</f>
        <v>EBIT &amp; DEPRECIATION</v>
      </c>
      <c r="D227" s="602" t="s">
        <v>923</v>
      </c>
      <c r="E227" s="601" t="s">
        <v>714</v>
      </c>
      <c r="F227" s="601" t="s">
        <v>551</v>
      </c>
      <c r="G227" s="601">
        <v>6187580</v>
      </c>
      <c r="H227" s="601">
        <v>9013225</v>
      </c>
      <c r="I227" s="601">
        <v>4980089</v>
      </c>
      <c r="J227" s="601">
        <v>7123427</v>
      </c>
      <c r="K227" s="601">
        <v>8780922</v>
      </c>
      <c r="L227" s="601">
        <v>11080336</v>
      </c>
    </row>
    <row r="228" spans="1:12" hidden="1">
      <c r="A228" s="601" t="s">
        <v>792</v>
      </c>
      <c r="B228" s="601" t="str">
        <f t="shared" si="3"/>
        <v xml:space="preserve">INDUSTRI </v>
      </c>
      <c r="C228" s="601" t="str">
        <f>MID(Table3[[#This Row],[Statement Code]],FIND("- ",Table3[[#This Row],[Statement Code]])+2,100)</f>
        <v>EARNINGS PER SHARE</v>
      </c>
      <c r="D228" s="602" t="s">
        <v>924</v>
      </c>
      <c r="E228" s="601" t="s">
        <v>714</v>
      </c>
      <c r="F228" s="601" t="s">
        <v>551</v>
      </c>
      <c r="G228" s="601">
        <v>1.2230000000000001</v>
      </c>
      <c r="H228" s="601">
        <v>1.3859999999999999</v>
      </c>
      <c r="I228" s="601">
        <v>0.41699999999999998</v>
      </c>
      <c r="J228" s="601">
        <v>1.0449999999999999</v>
      </c>
      <c r="K228" s="601">
        <v>1.417</v>
      </c>
      <c r="L228" s="601">
        <v>1.9219999999999999</v>
      </c>
    </row>
    <row r="229" spans="1:12" hidden="1">
      <c r="A229" s="601" t="s">
        <v>794</v>
      </c>
      <c r="B229" s="601" t="str">
        <f t="shared" si="3"/>
        <v xml:space="preserve">INDUSTRI </v>
      </c>
      <c r="C229" s="601" t="str">
        <f>MID(Table3[[#This Row],[Statement Code]],FIND("- ",Table3[[#This Row],[Statement Code]])+2,100)</f>
        <v>FISCAL EPS-FULLY DILUTED-YR</v>
      </c>
      <c r="D229" s="602" t="s">
        <v>925</v>
      </c>
      <c r="E229" s="601" t="s">
        <v>714</v>
      </c>
      <c r="F229" s="601" t="s">
        <v>551</v>
      </c>
      <c r="G229" s="601">
        <v>1.2230000000000001</v>
      </c>
      <c r="H229" s="601">
        <v>1.3859999999999999</v>
      </c>
      <c r="I229" s="601">
        <v>0.41699999999999998</v>
      </c>
      <c r="J229" s="601">
        <v>1.0449999999999999</v>
      </c>
      <c r="K229" s="601">
        <v>1.417</v>
      </c>
      <c r="L229" s="601">
        <v>1.9219999999999999</v>
      </c>
    </row>
    <row r="230" spans="1:12" hidden="1">
      <c r="A230" s="601" t="s">
        <v>796</v>
      </c>
      <c r="B230" s="601" t="str">
        <f t="shared" si="3"/>
        <v xml:space="preserve">INDUSTRI </v>
      </c>
      <c r="C230" s="601" t="str">
        <f>MID(Table3[[#This Row],[Statement Code]],FIND("- ",Table3[[#This Row],[Statement Code]])+2,100)</f>
        <v>ENTERPRISE VALUE</v>
      </c>
      <c r="D230" s="602" t="s">
        <v>926</v>
      </c>
      <c r="E230" s="601" t="s">
        <v>714</v>
      </c>
      <c r="F230" s="601" t="s">
        <v>551</v>
      </c>
      <c r="G230" s="601">
        <v>76443592</v>
      </c>
      <c r="H230" s="601">
        <v>110707513</v>
      </c>
      <c r="I230" s="601">
        <v>87907470</v>
      </c>
      <c r="J230" s="601">
        <v>79933705</v>
      </c>
      <c r="K230" s="601">
        <v>90151950</v>
      </c>
      <c r="L230" s="601">
        <v>130957202</v>
      </c>
    </row>
    <row r="231" spans="1:12">
      <c r="A231" s="601" t="s">
        <v>798</v>
      </c>
      <c r="B231" s="601" t="str">
        <f t="shared" si="3"/>
        <v xml:space="preserve">INDUSTRI </v>
      </c>
      <c r="C231" s="601" t="str">
        <f>MID(Table3[[#This Row],[Statement Code]],FIND("- ",Table3[[#This Row],[Statement Code]])+2,100)</f>
        <v>GROSS INCOME</v>
      </c>
      <c r="D231" s="602" t="s">
        <v>927</v>
      </c>
      <c r="E231" s="601" t="s">
        <v>714</v>
      </c>
      <c r="F231" s="601" t="s">
        <v>551</v>
      </c>
      <c r="G231" s="601">
        <v>5635730</v>
      </c>
      <c r="H231" s="601">
        <v>7068266</v>
      </c>
      <c r="I231" s="601">
        <v>3125613</v>
      </c>
      <c r="J231" s="601">
        <v>5253804</v>
      </c>
      <c r="K231" s="601">
        <v>7542518</v>
      </c>
      <c r="L231" s="601">
        <v>9061282</v>
      </c>
    </row>
    <row r="232" spans="1:12">
      <c r="A232" s="601" t="s">
        <v>800</v>
      </c>
      <c r="B232" s="601" t="str">
        <f t="shared" si="3"/>
        <v xml:space="preserve">INDUSTRI </v>
      </c>
      <c r="C232" s="601" t="str">
        <f>MID(Table3[[#This Row],[Statement Code]],FIND("- ",Table3[[#This Row],[Statement Code]])+2,100)</f>
        <v>INCOME TAXES</v>
      </c>
      <c r="D232" s="602" t="s">
        <v>928</v>
      </c>
      <c r="E232" s="601" t="s">
        <v>714</v>
      </c>
      <c r="F232" s="601" t="s">
        <v>551</v>
      </c>
      <c r="G232" s="601">
        <v>1083794</v>
      </c>
      <c r="H232" s="601">
        <v>1226273</v>
      </c>
      <c r="I232" s="601">
        <v>348595</v>
      </c>
      <c r="J232" s="601">
        <v>951863</v>
      </c>
      <c r="K232" s="601">
        <v>1292851</v>
      </c>
      <c r="L232" s="601">
        <v>1639925</v>
      </c>
    </row>
    <row r="233" spans="1:12" hidden="1">
      <c r="A233" s="601" t="s">
        <v>802</v>
      </c>
      <c r="B233" s="601" t="str">
        <f t="shared" si="3"/>
        <v xml:space="preserve">INDUSTRI </v>
      </c>
      <c r="C233" s="601" t="str">
        <f>MID(Table3[[#This Row],[Statement Code]],FIND("- ",Table3[[#This Row],[Statement Code]])+2,100)</f>
        <v>INCREASE/DECREASE IN CASH/SHOR</v>
      </c>
      <c r="D233" s="602" t="s">
        <v>929</v>
      </c>
      <c r="E233" s="601" t="s">
        <v>714</v>
      </c>
      <c r="F233" s="601" t="s">
        <v>551</v>
      </c>
      <c r="G233" s="601">
        <v>-71884</v>
      </c>
      <c r="H233" s="601">
        <v>-101992</v>
      </c>
      <c r="I233" s="601">
        <v>3072796</v>
      </c>
      <c r="J233" s="601">
        <v>-378137</v>
      </c>
      <c r="K233" s="601">
        <v>-1559748</v>
      </c>
      <c r="L233" s="601">
        <v>1608795</v>
      </c>
    </row>
    <row r="234" spans="1:12">
      <c r="A234" s="601" t="s">
        <v>804</v>
      </c>
      <c r="B234" s="601" t="str">
        <f t="shared" si="3"/>
        <v xml:space="preserve">INDUSTRI </v>
      </c>
      <c r="C234" s="601" t="str">
        <f>MID(Table3[[#This Row],[Statement Code]],FIND("- ",Table3[[#This Row],[Statement Code]])+2,100)</f>
        <v>INTEREST EXPENSE ON DEBT</v>
      </c>
      <c r="D234" s="602" t="s">
        <v>930</v>
      </c>
      <c r="E234" s="601" t="s">
        <v>714</v>
      </c>
      <c r="F234" s="601" t="s">
        <v>551</v>
      </c>
      <c r="G234" s="601">
        <v>16589</v>
      </c>
      <c r="H234" s="601">
        <v>185008</v>
      </c>
      <c r="I234" s="601">
        <v>150236</v>
      </c>
      <c r="J234" s="601">
        <v>113341</v>
      </c>
      <c r="K234" s="601">
        <v>153733</v>
      </c>
      <c r="L234" s="601">
        <v>301302</v>
      </c>
    </row>
    <row r="235" spans="1:12" hidden="1">
      <c r="A235" s="601" t="s">
        <v>806</v>
      </c>
      <c r="B235" s="601" t="str">
        <f t="shared" si="3"/>
        <v xml:space="preserve">INDUSTRI </v>
      </c>
      <c r="C235" s="601" t="str">
        <f>MID(Table3[[#This Row],[Statement Code]],FIND("- ",Table3[[#This Row],[Statement Code]])+2,100)</f>
        <v>TOTAL INVENTORIES</v>
      </c>
      <c r="D235" s="602" t="s">
        <v>931</v>
      </c>
      <c r="E235" s="601" t="s">
        <v>714</v>
      </c>
      <c r="F235" s="601" t="s">
        <v>551</v>
      </c>
      <c r="G235" s="601">
        <v>3003658</v>
      </c>
      <c r="H235" s="601">
        <v>2690922</v>
      </c>
      <c r="I235" s="601">
        <v>2724201</v>
      </c>
      <c r="J235" s="601">
        <v>3051178</v>
      </c>
      <c r="K235" s="601">
        <v>3406677</v>
      </c>
      <c r="L235" s="601">
        <v>3297640</v>
      </c>
    </row>
    <row r="236" spans="1:12">
      <c r="A236" s="601" t="s">
        <v>808</v>
      </c>
      <c r="B236" s="601" t="str">
        <f t="shared" si="3"/>
        <v xml:space="preserve">INDUSTRI </v>
      </c>
      <c r="C236" s="601" t="str">
        <f>MID(Table3[[#This Row],[Statement Code]],FIND("- ",Table3[[#This Row],[Statement Code]])+2,100)</f>
        <v>LONG TERM DEBT</v>
      </c>
      <c r="D236" s="602" t="s">
        <v>932</v>
      </c>
      <c r="E236" s="601" t="s">
        <v>714</v>
      </c>
      <c r="F236" s="601" t="s">
        <v>551</v>
      </c>
      <c r="G236" s="601">
        <v>5530</v>
      </c>
      <c r="H236" s="601">
        <v>6123063</v>
      </c>
      <c r="I236" s="601">
        <v>5397933</v>
      </c>
      <c r="J236" s="601">
        <v>4274859</v>
      </c>
      <c r="K236" s="601">
        <v>4189220</v>
      </c>
      <c r="L236" s="601">
        <v>4584008</v>
      </c>
    </row>
    <row r="237" spans="1:12" hidden="1">
      <c r="A237" s="601" t="s">
        <v>810</v>
      </c>
      <c r="B237" s="601" t="str">
        <f t="shared" si="3"/>
        <v xml:space="preserve">INDUSTRI </v>
      </c>
      <c r="C237" s="601" t="str">
        <f>MID(Table3[[#This Row],[Statement Code]],FIND("- ",Table3[[#This Row],[Statement Code]])+2,100)</f>
        <v>MARKET CAPITALIZATION</v>
      </c>
      <c r="D237" s="602" t="s">
        <v>933</v>
      </c>
      <c r="E237" s="601" t="s">
        <v>714</v>
      </c>
      <c r="F237" s="601" t="s">
        <v>551</v>
      </c>
      <c r="G237" s="601">
        <v>83848782</v>
      </c>
      <c r="H237" s="601">
        <v>112176906</v>
      </c>
      <c r="I237" s="601">
        <v>89536592</v>
      </c>
      <c r="J237" s="601">
        <v>83477364</v>
      </c>
      <c r="K237" s="601">
        <v>95076740</v>
      </c>
      <c r="L237" s="601">
        <v>137442412</v>
      </c>
    </row>
    <row r="238" spans="1:12" hidden="1">
      <c r="A238" s="601" t="s">
        <v>812</v>
      </c>
      <c r="B238" s="601" t="str">
        <f t="shared" si="3"/>
        <v xml:space="preserve">INDUSTRI </v>
      </c>
      <c r="C238" s="601" t="str">
        <f>MID(Table3[[#This Row],[Statement Code]],FIND("- ",Table3[[#This Row],[Statement Code]])+2,100)</f>
        <v>NET CASH FLOW - FINANCING</v>
      </c>
      <c r="D238" s="602" t="s">
        <v>934</v>
      </c>
      <c r="E238" s="601" t="s">
        <v>714</v>
      </c>
      <c r="F238" s="601" t="s">
        <v>551</v>
      </c>
      <c r="G238" s="601">
        <v>-2499362</v>
      </c>
      <c r="H238" s="601">
        <v>-5489766</v>
      </c>
      <c r="I238" s="601">
        <v>-3269981</v>
      </c>
      <c r="J238" s="601">
        <v>-3920794</v>
      </c>
      <c r="K238" s="601">
        <v>-4925857</v>
      </c>
      <c r="L238" s="601">
        <v>-6084957</v>
      </c>
    </row>
    <row r="239" spans="1:12" hidden="1">
      <c r="A239" s="601" t="s">
        <v>814</v>
      </c>
      <c r="B239" s="601" t="str">
        <f t="shared" si="3"/>
        <v xml:space="preserve">INDUSTRI </v>
      </c>
      <c r="C239" s="601" t="str">
        <f>MID(Table3[[#This Row],[Statement Code]],FIND("- ",Table3[[#This Row],[Statement Code]])+2,100)</f>
        <v>NET CASH FLOW - INVESTING</v>
      </c>
      <c r="D239" s="602" t="s">
        <v>935</v>
      </c>
      <c r="E239" s="601" t="s">
        <v>714</v>
      </c>
      <c r="F239" s="601" t="s">
        <v>551</v>
      </c>
      <c r="G239" s="601">
        <v>2073586</v>
      </c>
      <c r="H239" s="601">
        <v>2819005</v>
      </c>
      <c r="I239" s="601">
        <v>-2950729</v>
      </c>
      <c r="J239" s="601">
        <v>3262815</v>
      </c>
      <c r="K239" s="601">
        <v>3740833</v>
      </c>
      <c r="L239" s="601">
        <v>1900090</v>
      </c>
    </row>
    <row r="240" spans="1:12" hidden="1">
      <c r="A240" s="601" t="s">
        <v>816</v>
      </c>
      <c r="B240" s="601" t="str">
        <f t="shared" si="3"/>
        <v xml:space="preserve">INDUSTRI </v>
      </c>
      <c r="C240" s="601" t="str">
        <f>MID(Table3[[#This Row],[Statement Code]],FIND("- ",Table3[[#This Row],[Statement Code]])+2,100)</f>
        <v>NET CASH FLOW-OPERATING ACTIVS</v>
      </c>
      <c r="D240" s="602" t="s">
        <v>936</v>
      </c>
      <c r="E240" s="601" t="s">
        <v>714</v>
      </c>
      <c r="F240" s="601" t="s">
        <v>551</v>
      </c>
      <c r="G240" s="601">
        <v>4455721</v>
      </c>
      <c r="H240" s="601">
        <v>8183060</v>
      </c>
      <c r="I240" s="601">
        <v>3541110</v>
      </c>
      <c r="J240" s="601">
        <v>6774377</v>
      </c>
      <c r="K240" s="601">
        <v>7125091</v>
      </c>
      <c r="L240" s="601">
        <v>9636090</v>
      </c>
    </row>
    <row r="241" spans="1:12" hidden="1">
      <c r="A241" s="601" t="s">
        <v>818</v>
      </c>
      <c r="B241" s="601" t="str">
        <f t="shared" si="3"/>
        <v xml:space="preserve">INDUSTRI </v>
      </c>
      <c r="C241" s="601" t="str">
        <f>MID(Table3[[#This Row],[Statement Code]],FIND("- ",Table3[[#This Row],[Statement Code]])+2,100)</f>
        <v>NET DEBT</v>
      </c>
      <c r="D241" s="602" t="s">
        <v>937</v>
      </c>
      <c r="E241" s="601" t="s">
        <v>714</v>
      </c>
      <c r="F241" s="601" t="s">
        <v>551</v>
      </c>
      <c r="G241" s="601">
        <v>-7438367</v>
      </c>
      <c r="H241" s="601">
        <v>-1512087</v>
      </c>
      <c r="I241" s="601">
        <v>-1664333</v>
      </c>
      <c r="J241" s="601">
        <v>-3569738</v>
      </c>
      <c r="K241" s="601">
        <v>-4951479</v>
      </c>
      <c r="L241" s="601">
        <v>-6518564</v>
      </c>
    </row>
    <row r="242" spans="1:12">
      <c r="A242" s="601" t="s">
        <v>820</v>
      </c>
      <c r="B242" s="601" t="str">
        <f t="shared" si="3"/>
        <v xml:space="preserve">INDUSTRI </v>
      </c>
      <c r="C242" s="601" t="str">
        <f>MID(Table3[[#This Row],[Statement Code]],FIND("- ",Table3[[#This Row],[Statement Code]])+2,100)</f>
        <v>NET INCOME - DILUTED</v>
      </c>
      <c r="D242" s="602" t="s">
        <v>938</v>
      </c>
      <c r="E242" s="601" t="s">
        <v>714</v>
      </c>
      <c r="F242" s="601" t="s">
        <v>551</v>
      </c>
      <c r="G242" s="601">
        <v>3808763</v>
      </c>
      <c r="H242" s="601">
        <v>4315674</v>
      </c>
      <c r="I242" s="601">
        <v>1298133</v>
      </c>
      <c r="J242" s="601">
        <v>3252784</v>
      </c>
      <c r="K242" s="601">
        <v>4409144</v>
      </c>
      <c r="L242" s="601">
        <v>5982670</v>
      </c>
    </row>
    <row r="243" spans="1:12">
      <c r="A243" s="601" t="s">
        <v>822</v>
      </c>
      <c r="B243" s="601" t="str">
        <f t="shared" si="3"/>
        <v xml:space="preserve">INDUSTRI </v>
      </c>
      <c r="C243" s="601" t="str">
        <f>MID(Table3[[#This Row],[Statement Code]],FIND("- ",Table3[[#This Row],[Statement Code]])+2,100)</f>
        <v>NET SALES OR REVENUES</v>
      </c>
      <c r="D243" s="602" t="s">
        <v>939</v>
      </c>
      <c r="E243" s="601" t="s">
        <v>714</v>
      </c>
      <c r="F243" s="601" t="s">
        <v>551</v>
      </c>
      <c r="G243" s="601">
        <v>28914082</v>
      </c>
      <c r="H243" s="601">
        <v>33545800</v>
      </c>
      <c r="I243" s="601">
        <v>23946212</v>
      </c>
      <c r="J243" s="601">
        <v>27799622</v>
      </c>
      <c r="K243" s="601">
        <v>34770316</v>
      </c>
      <c r="L243" s="601">
        <v>39966370</v>
      </c>
    </row>
    <row r="244" spans="1:12" hidden="1">
      <c r="A244" s="601" t="s">
        <v>824</v>
      </c>
      <c r="B244" s="601" t="str">
        <f t="shared" si="3"/>
        <v xml:space="preserve">INDUSTRI </v>
      </c>
      <c r="C244" s="601" t="str">
        <f>MID(Table3[[#This Row],[Statement Code]],FIND("- ",Table3[[#This Row],[Statement Code]])+2,100)</f>
        <v>NON-OPERATING INTEREST INCOME</v>
      </c>
      <c r="D244" s="602" t="s">
        <v>940</v>
      </c>
      <c r="E244" s="601" t="s">
        <v>714</v>
      </c>
      <c r="F244" s="601" t="s">
        <v>551</v>
      </c>
      <c r="G244" s="601">
        <v>32071</v>
      </c>
      <c r="H244" s="601">
        <v>36764</v>
      </c>
      <c r="I244" s="601">
        <v>7042</v>
      </c>
      <c r="J244" s="601">
        <v>5015</v>
      </c>
      <c r="K244" s="601">
        <v>50177</v>
      </c>
      <c r="L244" s="601">
        <v>422489</v>
      </c>
    </row>
    <row r="245" spans="1:12" hidden="1">
      <c r="A245" s="601" t="s">
        <v>826</v>
      </c>
      <c r="B245" s="601" t="str">
        <f t="shared" si="3"/>
        <v xml:space="preserve">INDUSTRI </v>
      </c>
      <c r="C245" s="601" t="str">
        <f>MID(Table3[[#This Row],[Statement Code]],FIND("- ",Table3[[#This Row],[Statement Code]])+2,100)</f>
        <v>OPERATING EXPENSES - TOTAL</v>
      </c>
      <c r="D245" s="602" t="s">
        <v>941</v>
      </c>
      <c r="E245" s="601" t="s">
        <v>714</v>
      </c>
      <c r="F245" s="601" t="s">
        <v>551</v>
      </c>
      <c r="G245" s="601">
        <v>24216166</v>
      </c>
      <c r="H245" s="601">
        <v>27553192</v>
      </c>
      <c r="I245" s="601">
        <v>21550652</v>
      </c>
      <c r="J245" s="601">
        <v>23443518</v>
      </c>
      <c r="K245" s="601">
        <v>28802492</v>
      </c>
      <c r="L245" s="601">
        <v>32289296</v>
      </c>
    </row>
    <row r="246" spans="1:12">
      <c r="A246" s="601" t="s">
        <v>828</v>
      </c>
      <c r="B246" s="601" t="str">
        <f t="shared" si="3"/>
        <v xml:space="preserve">INDUSTRI </v>
      </c>
      <c r="C246" s="601" t="str">
        <f>MID(Table3[[#This Row],[Statement Code]],FIND("- ",Table3[[#This Row],[Statement Code]])+2,100)</f>
        <v>OPERATING INCOME</v>
      </c>
      <c r="D246" s="602" t="s">
        <v>942</v>
      </c>
      <c r="E246" s="601" t="s">
        <v>714</v>
      </c>
      <c r="F246" s="601" t="s">
        <v>551</v>
      </c>
      <c r="G246" s="601">
        <v>4697916</v>
      </c>
      <c r="H246" s="601">
        <v>5992609</v>
      </c>
      <c r="I246" s="601">
        <v>2395560</v>
      </c>
      <c r="J246" s="601">
        <v>4356103</v>
      </c>
      <c r="K246" s="601">
        <v>5967824</v>
      </c>
      <c r="L246" s="601">
        <v>7677074</v>
      </c>
    </row>
    <row r="247" spans="1:12" hidden="1">
      <c r="A247" s="601" t="s">
        <v>830</v>
      </c>
      <c r="B247" s="601" t="str">
        <f t="shared" si="3"/>
        <v xml:space="preserve">INDUSTRI </v>
      </c>
      <c r="C247" s="601" t="str">
        <f>MID(Table3[[#This Row],[Statement Code]],FIND("- ",Table3[[#This Row],[Statement Code]])+2,100)</f>
        <v>PRETAX INCOME</v>
      </c>
      <c r="D247" s="602" t="s">
        <v>943</v>
      </c>
      <c r="E247" s="601" t="s">
        <v>714</v>
      </c>
      <c r="F247" s="601" t="s">
        <v>551</v>
      </c>
      <c r="G247" s="601">
        <v>4837261</v>
      </c>
      <c r="H247" s="601">
        <v>5479092</v>
      </c>
      <c r="I247" s="601">
        <v>1605647</v>
      </c>
      <c r="J247" s="601">
        <v>4153494</v>
      </c>
      <c r="K247" s="601">
        <v>5663561</v>
      </c>
      <c r="L247" s="601">
        <v>7558110</v>
      </c>
    </row>
    <row r="248" spans="1:12" hidden="1">
      <c r="A248" s="601" t="s">
        <v>832</v>
      </c>
      <c r="B248" s="601" t="str">
        <f t="shared" si="3"/>
        <v xml:space="preserve">INDUSTRI </v>
      </c>
      <c r="C248" s="601" t="str">
        <f>MID(Table3[[#This Row],[Statement Code]],FIND("- ",Table3[[#This Row],[Statement Code]])+2,100)</f>
        <v>PROPERTY, PLANT &amp; EQUIP - NET</v>
      </c>
      <c r="D248" s="602" t="s">
        <v>944</v>
      </c>
      <c r="E248" s="601" t="s">
        <v>714</v>
      </c>
      <c r="F248" s="601" t="s">
        <v>551</v>
      </c>
      <c r="G248" s="601">
        <v>9222204</v>
      </c>
      <c r="H248" s="601">
        <v>17075318</v>
      </c>
      <c r="I248" s="601">
        <v>15115151</v>
      </c>
      <c r="J248" s="601">
        <v>12743332</v>
      </c>
      <c r="K248" s="601">
        <v>13345934</v>
      </c>
      <c r="L248" s="601">
        <v>14936106</v>
      </c>
    </row>
    <row r="249" spans="1:12" hidden="1">
      <c r="A249" s="601" t="s">
        <v>834</v>
      </c>
      <c r="B249" s="601" t="str">
        <f t="shared" si="3"/>
        <v xml:space="preserve">INDUSTRI </v>
      </c>
      <c r="C249" s="601" t="str">
        <f>MID(Table3[[#This Row],[Statement Code]],FIND("- ",Table3[[#This Row],[Statement Code]])+2,100)</f>
        <v>RECEIVABLES(NET)</v>
      </c>
      <c r="D249" s="602" t="s">
        <v>945</v>
      </c>
      <c r="E249" s="601" t="s">
        <v>714</v>
      </c>
      <c r="F249" s="601" t="s">
        <v>551</v>
      </c>
      <c r="G249" s="601">
        <v>1026287</v>
      </c>
      <c r="H249" s="601">
        <v>1131397</v>
      </c>
      <c r="I249" s="601">
        <v>1140855</v>
      </c>
      <c r="J249" s="601">
        <v>1064201</v>
      </c>
      <c r="K249" s="601">
        <v>1162605</v>
      </c>
      <c r="L249" s="601">
        <v>1691069</v>
      </c>
    </row>
    <row r="250" spans="1:12" hidden="1">
      <c r="A250" s="601" t="s">
        <v>836</v>
      </c>
      <c r="B250" s="601" t="str">
        <f t="shared" si="3"/>
        <v xml:space="preserve">INDUSTRI </v>
      </c>
      <c r="C250" s="601" t="str">
        <f>MID(Table3[[#This Row],[Statement Code]],FIND("- ",Table3[[#This Row],[Statement Code]])+2,100)</f>
        <v>SHORT TERM DEBT &amp; CURRENT PORT</v>
      </c>
      <c r="D250" s="602" t="s">
        <v>946</v>
      </c>
      <c r="E250" s="601" t="s">
        <v>714</v>
      </c>
      <c r="F250" s="601" t="s">
        <v>551</v>
      </c>
      <c r="G250" s="601">
        <v>92897</v>
      </c>
      <c r="H250" s="601">
        <v>1986467</v>
      </c>
      <c r="I250" s="601">
        <v>1829828</v>
      </c>
      <c r="J250" s="601">
        <v>1600815</v>
      </c>
      <c r="K250" s="601">
        <v>1632344</v>
      </c>
      <c r="L250" s="601">
        <v>1604347</v>
      </c>
    </row>
    <row r="251" spans="1:12">
      <c r="A251" s="601" t="s">
        <v>838</v>
      </c>
      <c r="B251" s="601" t="str">
        <f t="shared" si="3"/>
        <v xml:space="preserve">INDUSTRI </v>
      </c>
      <c r="C251" s="601" t="str">
        <f>MID(Table3[[#This Row],[Statement Code]],FIND("- ",Table3[[#This Row],[Statement Code]])+2,100)</f>
        <v>TOTAL ASSETS</v>
      </c>
      <c r="D251" s="602" t="s">
        <v>947</v>
      </c>
      <c r="E251" s="601" t="s">
        <v>714</v>
      </c>
      <c r="F251" s="601" t="s">
        <v>551</v>
      </c>
      <c r="G251" s="601">
        <v>23031734</v>
      </c>
      <c r="H251" s="601">
        <v>32204490</v>
      </c>
      <c r="I251" s="601">
        <v>29509640</v>
      </c>
      <c r="J251" s="601">
        <v>27849773</v>
      </c>
      <c r="K251" s="601">
        <v>30725220</v>
      </c>
      <c r="L251" s="601">
        <v>35089955</v>
      </c>
    </row>
    <row r="252" spans="1:12" hidden="1">
      <c r="A252" s="601" t="s">
        <v>840</v>
      </c>
      <c r="B252" s="601" t="str">
        <f t="shared" si="3"/>
        <v xml:space="preserve">INDUSTRI </v>
      </c>
      <c r="C252" s="601" t="str">
        <f>MID(Table3[[#This Row],[Statement Code]],FIND("- ",Table3[[#This Row],[Statement Code]])+2,100)</f>
        <v>TOTAL CAPITAL</v>
      </c>
      <c r="D252" s="602" t="s">
        <v>948</v>
      </c>
      <c r="E252" s="601" t="s">
        <v>714</v>
      </c>
      <c r="F252" s="601" t="s">
        <v>551</v>
      </c>
      <c r="G252" s="601">
        <v>16242537</v>
      </c>
      <c r="H252" s="601">
        <v>23851840</v>
      </c>
      <c r="I252" s="601">
        <v>22475542</v>
      </c>
      <c r="J252" s="601">
        <v>20081405</v>
      </c>
      <c r="K252" s="601">
        <v>22373469</v>
      </c>
      <c r="L252" s="601">
        <v>25343795</v>
      </c>
    </row>
    <row r="253" spans="1:12">
      <c r="A253" s="601" t="s">
        <v>842</v>
      </c>
      <c r="B253" s="601" t="str">
        <f t="shared" si="3"/>
        <v xml:space="preserve">INDUSTRI </v>
      </c>
      <c r="C253" s="601" t="str">
        <f>MID(Table3[[#This Row],[Statement Code]],FIND("- ",Table3[[#This Row],[Statement Code]])+2,100)</f>
        <v>TOTAL DEBT</v>
      </c>
      <c r="D253" s="602" t="s">
        <v>949</v>
      </c>
      <c r="E253" s="601" t="s">
        <v>714</v>
      </c>
      <c r="F253" s="601" t="s">
        <v>551</v>
      </c>
      <c r="G253" s="601">
        <v>98426</v>
      </c>
      <c r="H253" s="601">
        <v>8109531</v>
      </c>
      <c r="I253" s="601">
        <v>7227761</v>
      </c>
      <c r="J253" s="601">
        <v>5875674</v>
      </c>
      <c r="K253" s="601">
        <v>5821564</v>
      </c>
      <c r="L253" s="601">
        <v>6188356</v>
      </c>
    </row>
    <row r="254" spans="1:12" hidden="1">
      <c r="A254" s="601" t="s">
        <v>844</v>
      </c>
      <c r="B254" s="601" t="str">
        <f t="shared" si="3"/>
        <v xml:space="preserve">INDUSTRI </v>
      </c>
      <c r="C254" s="601" t="str">
        <f>MID(Table3[[#This Row],[Statement Code]],FIND("- ",Table3[[#This Row],[Statement Code]])+2,100)</f>
        <v>TOTAL INTANGIBLE OT ASSETS-NET</v>
      </c>
      <c r="D254" s="602" t="s">
        <v>950</v>
      </c>
      <c r="E254" s="601" t="s">
        <v>714</v>
      </c>
      <c r="F254" s="601" t="s">
        <v>551</v>
      </c>
      <c r="G254" s="601">
        <v>1123607</v>
      </c>
      <c r="H254" s="601">
        <v>731732</v>
      </c>
      <c r="I254" s="601">
        <v>757049</v>
      </c>
      <c r="J254" s="601">
        <v>793387</v>
      </c>
      <c r="K254" s="601">
        <v>1070792</v>
      </c>
      <c r="L254" s="601">
        <v>1578776</v>
      </c>
    </row>
    <row r="255" spans="1:12">
      <c r="A255" s="601" t="s">
        <v>846</v>
      </c>
      <c r="B255" s="601" t="str">
        <f t="shared" si="3"/>
        <v xml:space="preserve">INDUSTRI </v>
      </c>
      <c r="C255" s="601" t="str">
        <f>MID(Table3[[#This Row],[Statement Code]],FIND("- ",Table3[[#This Row],[Statement Code]])+2,100)</f>
        <v>TOTAL LIABILITIES</v>
      </c>
      <c r="D255" s="602" t="s">
        <v>951</v>
      </c>
      <c r="E255" s="601" t="s">
        <v>714</v>
      </c>
      <c r="F255" s="601" t="s">
        <v>551</v>
      </c>
      <c r="G255" s="601">
        <v>6794726</v>
      </c>
      <c r="H255" s="601">
        <v>14475714</v>
      </c>
      <c r="I255" s="601">
        <v>12432030</v>
      </c>
      <c r="J255" s="601">
        <v>12043226</v>
      </c>
      <c r="K255" s="601">
        <v>12540972</v>
      </c>
      <c r="L255" s="601">
        <v>14330168</v>
      </c>
    </row>
    <row r="256" spans="1:12" hidden="1">
      <c r="A256" s="601" t="s">
        <v>848</v>
      </c>
      <c r="B256" s="601" t="str">
        <f t="shared" si="3"/>
        <v xml:space="preserve">INDUSTRI </v>
      </c>
      <c r="C256" s="601" t="str">
        <f>MID(Table3[[#This Row],[Statement Code]],FIND("- ",Table3[[#This Row],[Statement Code]])+2,100)</f>
        <v>TOTAL LIABILITIES &amp; SHAREHOLDE</v>
      </c>
      <c r="D256" s="602" t="s">
        <v>952</v>
      </c>
      <c r="E256" s="601" t="s">
        <v>714</v>
      </c>
      <c r="F256" s="601" t="s">
        <v>551</v>
      </c>
      <c r="G256" s="601">
        <v>23031734</v>
      </c>
      <c r="H256" s="601">
        <v>32204490</v>
      </c>
      <c r="I256" s="601">
        <v>29509640</v>
      </c>
      <c r="J256" s="601">
        <v>27849773</v>
      </c>
      <c r="K256" s="601">
        <v>30725220</v>
      </c>
      <c r="L256" s="601">
        <v>35089955</v>
      </c>
    </row>
    <row r="257" spans="1:12" hidden="1">
      <c r="A257" s="601" t="s">
        <v>850</v>
      </c>
      <c r="B257" s="601" t="str">
        <f t="shared" si="3"/>
        <v xml:space="preserve">INDUSTRI </v>
      </c>
      <c r="C257" s="601" t="str">
        <f>MID(Table3[[#This Row],[Statement Code]],FIND("- ",Table3[[#This Row],[Statement Code]])+2,100)</f>
        <v>TOTAL SHAREHOLDERS EQUITY</v>
      </c>
      <c r="D257" s="602" t="s">
        <v>953</v>
      </c>
      <c r="E257" s="601" t="s">
        <v>714</v>
      </c>
      <c r="F257" s="601" t="s">
        <v>551</v>
      </c>
      <c r="G257" s="601">
        <v>16203830</v>
      </c>
      <c r="H257" s="601">
        <v>17686082</v>
      </c>
      <c r="I257" s="601">
        <v>17042398</v>
      </c>
      <c r="J257" s="601">
        <v>15780468</v>
      </c>
      <c r="K257" s="601">
        <v>18157559</v>
      </c>
      <c r="L257" s="601">
        <v>20726433</v>
      </c>
    </row>
    <row r="258" spans="1:12" hidden="1">
      <c r="A258" s="601" t="s">
        <v>852</v>
      </c>
      <c r="B258" s="601" t="str">
        <f t="shared" si="3"/>
        <v xml:space="preserve">INDUSTRI </v>
      </c>
      <c r="C258" s="601" t="str">
        <f>MID(Table3[[#This Row],[Statement Code]],FIND("- ",Table3[[#This Row],[Statement Code]])+2,100)</f>
        <v>WORKING CAPITAL</v>
      </c>
      <c r="D258" s="602" t="s">
        <v>954</v>
      </c>
      <c r="E258" s="601" t="s">
        <v>714</v>
      </c>
      <c r="F258" s="601" t="s">
        <v>551</v>
      </c>
      <c r="G258" s="601">
        <v>5791664</v>
      </c>
      <c r="H258" s="601">
        <v>4871885</v>
      </c>
      <c r="I258" s="601">
        <v>5421407</v>
      </c>
      <c r="J258" s="601">
        <v>5588811</v>
      </c>
      <c r="K258" s="601">
        <v>6941466</v>
      </c>
      <c r="L258" s="601">
        <v>7870530</v>
      </c>
    </row>
    <row r="259" spans="1:12" hidden="1">
      <c r="A259" s="601" t="s">
        <v>955</v>
      </c>
      <c r="B259" s="601" t="str">
        <f t="shared" ref="B259:B322" si="4">LEFT(A259,FIND(" ",A259))</f>
        <v xml:space="preserve">INDITEX </v>
      </c>
      <c r="C259" s="601" t="str">
        <f>MID(Table3[[#This Row],[Statement Code]],FIND("- ",Table3[[#This Row],[Statement Code]])+2,100)</f>
        <v>BK VAL PS 12M FWD</v>
      </c>
      <c r="D259" s="602" t="s">
        <v>956</v>
      </c>
      <c r="E259" s="601" t="s">
        <v>714</v>
      </c>
      <c r="F259" s="601" t="s">
        <v>551</v>
      </c>
      <c r="G259" s="601">
        <v>5.67</v>
      </c>
      <c r="H259" s="601">
        <v>5.77</v>
      </c>
      <c r="I259" s="601">
        <v>5.95</v>
      </c>
      <c r="J259" s="601">
        <v>5.28</v>
      </c>
      <c r="K259" s="601">
        <v>6.37</v>
      </c>
      <c r="L259" s="601">
        <v>7.3</v>
      </c>
    </row>
    <row r="260" spans="1:12" hidden="1">
      <c r="A260" s="601" t="s">
        <v>957</v>
      </c>
      <c r="B260" s="601" t="str">
        <f t="shared" si="4"/>
        <v xml:space="preserve">INDITEX </v>
      </c>
      <c r="C260" s="601" t="str">
        <f>MID(Table3[[#This Row],[Statement Code]],FIND("- ",Table3[[#This Row],[Statement Code]])+2,100)</f>
        <v>EV 12M FWD</v>
      </c>
      <c r="D260" s="602" t="s">
        <v>958</v>
      </c>
      <c r="E260" s="601" t="s">
        <v>714</v>
      </c>
      <c r="F260" s="601" t="s">
        <v>551</v>
      </c>
      <c r="G260" s="601">
        <v>81434282.650000006</v>
      </c>
      <c r="H260" s="601">
        <v>87427694.180000007</v>
      </c>
      <c r="I260" s="601">
        <v>102184846.59999999</v>
      </c>
      <c r="J260" s="601">
        <v>60406632.030000001</v>
      </c>
      <c r="K260" s="601">
        <v>106396820.8</v>
      </c>
      <c r="L260" s="601">
        <v>160003967.69999999</v>
      </c>
    </row>
    <row r="261" spans="1:12" hidden="1">
      <c r="A261" s="601" t="s">
        <v>959</v>
      </c>
      <c r="B261" s="601" t="str">
        <f t="shared" si="4"/>
        <v xml:space="preserve">INDITEX </v>
      </c>
      <c r="C261" s="601" t="str">
        <f>MID(Table3[[#This Row],[Statement Code]],FIND("- ",Table3[[#This Row],[Statement Code]])+2,100)</f>
        <v>NET INCOME 12M FWD</v>
      </c>
      <c r="D261" s="602" t="s">
        <v>960</v>
      </c>
      <c r="E261" s="601" t="s">
        <v>714</v>
      </c>
      <c r="F261" s="601" t="s">
        <v>551</v>
      </c>
      <c r="G261" s="601">
        <v>4329982.5199999996</v>
      </c>
      <c r="H261" s="601">
        <v>3210704.05</v>
      </c>
      <c r="I261" s="601">
        <v>4572589.1900000004</v>
      </c>
      <c r="J261" s="601">
        <v>4098767.15</v>
      </c>
      <c r="K261" s="601">
        <v>5783777.1299999999</v>
      </c>
      <c r="L261" s="601">
        <v>7037811.2599999998</v>
      </c>
    </row>
    <row r="262" spans="1:12" hidden="1">
      <c r="A262" s="601" t="s">
        <v>961</v>
      </c>
      <c r="B262" s="601" t="str">
        <f t="shared" si="4"/>
        <v xml:space="preserve">INDITEX </v>
      </c>
      <c r="C262" s="601" t="str">
        <f>MID(Table3[[#This Row],[Statement Code]],FIND("- ",Table3[[#This Row],[Statement Code]])+2,100)</f>
        <v>PRETAX PRF 12M FWD</v>
      </c>
      <c r="D262" s="602" t="s">
        <v>962</v>
      </c>
      <c r="E262" s="601" t="s">
        <v>714</v>
      </c>
      <c r="F262" s="601" t="s">
        <v>551</v>
      </c>
      <c r="G262" s="601">
        <v>5581959.5199999996</v>
      </c>
      <c r="H262" s="601">
        <v>4167187.49</v>
      </c>
      <c r="I262" s="601">
        <v>5932213.3799999999</v>
      </c>
      <c r="J262" s="601">
        <v>5308130.9400000004</v>
      </c>
      <c r="K262" s="601">
        <v>7497224.8600000003</v>
      </c>
      <c r="L262" s="601">
        <v>9087740.1600000001</v>
      </c>
    </row>
    <row r="263" spans="1:12" hidden="1">
      <c r="A263" s="601" t="s">
        <v>963</v>
      </c>
      <c r="B263" s="601" t="str">
        <f t="shared" si="4"/>
        <v xml:space="preserve">INDITEX </v>
      </c>
      <c r="C263" s="601" t="str">
        <f>MID(Table3[[#This Row],[Statement Code]],FIND("- ",Table3[[#This Row],[Statement Code]])+2,100)</f>
        <v>ROE 12M FWD</v>
      </c>
      <c r="D263" s="602" t="s">
        <v>964</v>
      </c>
      <c r="E263" s="601" t="s">
        <v>714</v>
      </c>
      <c r="F263" s="601" t="s">
        <v>551</v>
      </c>
      <c r="G263" s="601">
        <v>28.35</v>
      </c>
      <c r="H263" s="601">
        <v>20.99</v>
      </c>
      <c r="I263" s="601">
        <v>29.03</v>
      </c>
      <c r="J263" s="601">
        <v>24.52</v>
      </c>
      <c r="K263" s="601">
        <v>32.159999999999997</v>
      </c>
      <c r="L263" s="601">
        <v>35.53</v>
      </c>
    </row>
    <row r="264" spans="1:12" hidden="1">
      <c r="A264" s="601" t="s">
        <v>965</v>
      </c>
      <c r="B264" s="601" t="str">
        <f t="shared" si="4"/>
        <v xml:space="preserve">INDITEX </v>
      </c>
      <c r="C264" s="601" t="str">
        <f>MID(Table3[[#This Row],[Statement Code]],FIND("- ",Table3[[#This Row],[Statement Code]])+2,100)</f>
        <v>SALES 12M FWD</v>
      </c>
      <c r="D264" s="602" t="s">
        <v>966</v>
      </c>
      <c r="E264" s="601" t="s">
        <v>714</v>
      </c>
      <c r="F264" s="601" t="s">
        <v>551</v>
      </c>
      <c r="G264" s="601">
        <v>32152786.84</v>
      </c>
      <c r="H264" s="601">
        <v>29694553.600000001</v>
      </c>
      <c r="I264" s="601">
        <v>33586387.719999999</v>
      </c>
      <c r="J264" s="601">
        <v>32160033.850000001</v>
      </c>
      <c r="K264" s="601">
        <v>40305407.719999999</v>
      </c>
      <c r="L264" s="601">
        <v>45276615.030000001</v>
      </c>
    </row>
    <row r="265" spans="1:12" hidden="1">
      <c r="A265" s="601" t="s">
        <v>866</v>
      </c>
      <c r="B265" s="601" t="str">
        <f t="shared" si="4"/>
        <v xml:space="preserve">INDUSTRI </v>
      </c>
      <c r="C265" s="601" t="str">
        <f>MID(Table3[[#This Row],[Statement Code]],FIND("- ",Table3[[#This Row],[Statement Code]])+2,100)</f>
        <v>DECREASE/INCREASE RECEIVABLES</v>
      </c>
      <c r="D265" s="602" t="s">
        <v>967</v>
      </c>
      <c r="E265" s="601" t="s">
        <v>714</v>
      </c>
      <c r="F265" s="601" t="s">
        <v>551</v>
      </c>
      <c r="G265" s="601">
        <v>-157040</v>
      </c>
      <c r="H265" s="601">
        <v>-11860</v>
      </c>
      <c r="I265" s="601">
        <v>39906</v>
      </c>
      <c r="J265" s="601">
        <v>-154465</v>
      </c>
      <c r="K265" s="601">
        <v>-61920</v>
      </c>
      <c r="L265" s="601">
        <v>-379128</v>
      </c>
    </row>
    <row r="266" spans="1:12" hidden="1">
      <c r="A266" s="601" t="s">
        <v>868</v>
      </c>
      <c r="B266" s="601" t="str">
        <f t="shared" si="4"/>
        <v xml:space="preserve">INDUSTRI </v>
      </c>
      <c r="C266" s="601" t="str">
        <f>MID(Table3[[#This Row],[Statement Code]],FIND("- ",Table3[[#This Row],[Statement Code]])+2,100)</f>
        <v>DECREASE/INCREASE INVENTORIES</v>
      </c>
      <c r="D266" s="602" t="s">
        <v>968</v>
      </c>
      <c r="E266" s="601" t="s">
        <v>714</v>
      </c>
      <c r="F266" s="601" t="s">
        <v>551</v>
      </c>
      <c r="G266" s="601">
        <v>-77414</v>
      </c>
      <c r="H266" s="601">
        <v>238376</v>
      </c>
      <c r="I266" s="601">
        <v>109156</v>
      </c>
      <c r="J266" s="601">
        <v>-761290</v>
      </c>
      <c r="K266" s="601">
        <v>-206045</v>
      </c>
      <c r="L266" s="601">
        <v>144536</v>
      </c>
    </row>
    <row r="267" spans="1:12" hidden="1">
      <c r="A267" s="601" t="s">
        <v>870</v>
      </c>
      <c r="B267" s="601" t="str">
        <f t="shared" si="4"/>
        <v xml:space="preserve">INDUSTRI </v>
      </c>
      <c r="C267" s="601" t="str">
        <f>MID(Table3[[#This Row],[Statement Code]],FIND("- ",Table3[[#This Row],[Statement Code]])+2,100)</f>
        <v>DECREASE IN INVESTMENTS</v>
      </c>
      <c r="D267" s="602" t="s">
        <v>969</v>
      </c>
      <c r="E267" s="601" t="s">
        <v>714</v>
      </c>
      <c r="F267" s="601" t="s">
        <v>551</v>
      </c>
      <c r="G267" s="601">
        <v>74096</v>
      </c>
      <c r="H267" s="601">
        <v>157731</v>
      </c>
      <c r="I267" s="601">
        <v>3752379</v>
      </c>
      <c r="J267" s="601">
        <v>79238</v>
      </c>
      <c r="K267" s="601">
        <v>86475</v>
      </c>
      <c r="L267" s="601">
        <v>217916</v>
      </c>
    </row>
    <row r="268" spans="1:12" hidden="1">
      <c r="A268" s="601" t="s">
        <v>970</v>
      </c>
      <c r="B268" s="601" t="str">
        <f t="shared" si="4"/>
        <v xml:space="preserve">LEVI </v>
      </c>
      <c r="C268" s="601" t="str">
        <f>MID(Table3[[#This Row],[Statement Code]],FIND("- ",Table3[[#This Row],[Statement Code]])+2,100)</f>
        <v>MARKET VALUE</v>
      </c>
      <c r="D268" s="602" t="s">
        <v>971</v>
      </c>
      <c r="E268" s="601" t="s">
        <v>972</v>
      </c>
      <c r="F268" s="601" t="s">
        <v>551</v>
      </c>
      <c r="G268" s="601">
        <v>771.65</v>
      </c>
      <c r="H268" s="601">
        <v>823.94</v>
      </c>
      <c r="I268" s="601">
        <v>2432.6999999999998</v>
      </c>
      <c r="J268" s="601">
        <v>1722.57</v>
      </c>
      <c r="K268" s="601">
        <v>1325.34</v>
      </c>
      <c r="L268" s="601">
        <v>2079.62</v>
      </c>
    </row>
    <row r="269" spans="1:12" hidden="1">
      <c r="A269" s="601" t="s">
        <v>973</v>
      </c>
      <c r="B269" s="601" t="str">
        <f t="shared" si="4"/>
        <v xml:space="preserve">LEVI </v>
      </c>
      <c r="C269" s="601" t="str">
        <f>MID(Table3[[#This Row],[Statement Code]],FIND("- ",Table3[[#This Row],[Statement Code]])+2,100)</f>
        <v>PER</v>
      </c>
      <c r="D269" s="602" t="s">
        <v>974</v>
      </c>
      <c r="E269" s="601" t="s">
        <v>972</v>
      </c>
      <c r="F269" s="601" t="s">
        <v>551</v>
      </c>
      <c r="G269" s="601">
        <v>18.2</v>
      </c>
      <c r="H269" s="601" t="s">
        <v>23</v>
      </c>
      <c r="I269" s="601">
        <v>35.5</v>
      </c>
      <c r="J269" s="601">
        <v>12.1</v>
      </c>
      <c r="K269" s="601">
        <v>12.2</v>
      </c>
      <c r="L269" s="601">
        <v>55.4</v>
      </c>
    </row>
    <row r="270" spans="1:12" hidden="1">
      <c r="A270" s="601" t="s">
        <v>975</v>
      </c>
      <c r="B270" s="601" t="str">
        <f t="shared" si="4"/>
        <v xml:space="preserve">LEVI </v>
      </c>
      <c r="C270" s="601" t="str">
        <f>MID(Table3[[#This Row],[Statement Code]],FIND("- ",Table3[[#This Row],[Statement Code]])+2,100)</f>
        <v>12MTH FORWARD EPS</v>
      </c>
      <c r="D270" s="602" t="s">
        <v>976</v>
      </c>
      <c r="E270" s="601" t="s">
        <v>972</v>
      </c>
      <c r="F270" s="601" t="s">
        <v>551</v>
      </c>
      <c r="G270" s="601">
        <v>1.153</v>
      </c>
      <c r="H270" s="601">
        <v>0.66</v>
      </c>
      <c r="I270" s="601">
        <v>1.482</v>
      </c>
      <c r="J270" s="601">
        <v>1.615</v>
      </c>
      <c r="K270" s="601">
        <v>1.32</v>
      </c>
      <c r="L270" s="601">
        <v>1.393</v>
      </c>
    </row>
    <row r="271" spans="1:12" hidden="1">
      <c r="A271" s="601" t="s">
        <v>977</v>
      </c>
      <c r="B271" s="601" t="str">
        <f t="shared" si="4"/>
        <v xml:space="preserve">LEVI </v>
      </c>
      <c r="C271" s="601" t="e">
        <f>MID(Table3[[#This Row],[Statement Code]],FIND("- ",Table3[[#This Row],[Statement Code]])+2,100)</f>
        <v>#VALUE!</v>
      </c>
      <c r="D271" s="602" t="s">
        <v>978</v>
      </c>
      <c r="E271" s="601" t="s">
        <v>972</v>
      </c>
      <c r="F271" s="601" t="s">
        <v>551</v>
      </c>
      <c r="G271" s="601">
        <v>7.0919999999999996</v>
      </c>
      <c r="H271" s="601">
        <v>4.8929999999999998</v>
      </c>
      <c r="I271" s="601">
        <v>5.617</v>
      </c>
      <c r="J271" s="601">
        <v>9.3239999999999998</v>
      </c>
      <c r="K271" s="601">
        <v>9.8209999999999997</v>
      </c>
      <c r="L271" s="601">
        <v>7.0439999999999996</v>
      </c>
    </row>
    <row r="272" spans="1:12" hidden="1">
      <c r="A272" s="601" t="s">
        <v>977</v>
      </c>
      <c r="B272" s="601" t="str">
        <f t="shared" si="4"/>
        <v xml:space="preserve">LEVI </v>
      </c>
      <c r="C272" s="601" t="e">
        <f>MID(Table3[[#This Row],[Statement Code]],FIND("- ",Table3[[#This Row],[Statement Code]])+2,100)</f>
        <v>#VALUE!</v>
      </c>
      <c r="D272" s="602" t="s">
        <v>979</v>
      </c>
      <c r="E272" s="601" t="s">
        <v>972</v>
      </c>
      <c r="F272" s="601" t="s">
        <v>551</v>
      </c>
      <c r="G272" s="601">
        <v>10.753</v>
      </c>
      <c r="H272" s="601">
        <v>12.691000000000001</v>
      </c>
      <c r="I272" s="601">
        <v>13.237</v>
      </c>
      <c r="J272" s="601">
        <v>8.9909999999999997</v>
      </c>
      <c r="K272" s="601">
        <v>8.7040000000000006</v>
      </c>
      <c r="L272" s="601">
        <v>11.967000000000001</v>
      </c>
    </row>
    <row r="273" spans="1:12" hidden="1">
      <c r="A273" s="601" t="s">
        <v>977</v>
      </c>
      <c r="B273" s="601" t="str">
        <f t="shared" si="4"/>
        <v xml:space="preserve">LEVI </v>
      </c>
      <c r="C273" s="601" t="e">
        <f>MID(Table3[[#This Row],[Statement Code]],FIND("- ",Table3[[#This Row],[Statement Code]])+2,100)</f>
        <v>#VALUE!</v>
      </c>
      <c r="D273" s="602" t="s">
        <v>980</v>
      </c>
      <c r="E273" s="601" t="s">
        <v>972</v>
      </c>
      <c r="F273" s="601" t="s">
        <v>551</v>
      </c>
      <c r="G273" s="601">
        <v>8.8409999999999993</v>
      </c>
      <c r="H273" s="601">
        <v>9.4209999999999994</v>
      </c>
      <c r="I273" s="601">
        <v>11.148</v>
      </c>
      <c r="J273" s="601">
        <v>7.3529999999999998</v>
      </c>
      <c r="K273" s="601">
        <v>6.8819999999999997</v>
      </c>
      <c r="L273" s="601">
        <v>9.5180000000000007</v>
      </c>
    </row>
    <row r="274" spans="1:12" hidden="1">
      <c r="A274" s="601" t="s">
        <v>977</v>
      </c>
      <c r="B274" s="601" t="str">
        <f t="shared" si="4"/>
        <v xml:space="preserve">LEVI </v>
      </c>
      <c r="C274" s="601" t="e">
        <f>MID(Table3[[#This Row],[Statement Code]],FIND("- ",Table3[[#This Row],[Statement Code]])+2,100)</f>
        <v>#VALUE!</v>
      </c>
      <c r="D274" s="602" t="s">
        <v>981</v>
      </c>
      <c r="E274" s="601" t="s">
        <v>972</v>
      </c>
      <c r="F274" s="601" t="s">
        <v>551</v>
      </c>
      <c r="G274" s="601" t="s">
        <v>23</v>
      </c>
      <c r="H274" s="601" t="s">
        <v>23</v>
      </c>
      <c r="I274" s="601">
        <v>4.0632999999999999</v>
      </c>
      <c r="J274" s="601">
        <v>53.717399999999998</v>
      </c>
      <c r="K274" s="601">
        <v>4.6163999999999996</v>
      </c>
      <c r="L274" s="601">
        <v>3.8170000000000002</v>
      </c>
    </row>
    <row r="275" spans="1:12" hidden="1">
      <c r="A275" s="601" t="s">
        <v>977</v>
      </c>
      <c r="B275" s="601" t="str">
        <f t="shared" si="4"/>
        <v xml:space="preserve">LEVI </v>
      </c>
      <c r="C275" s="601" t="e">
        <f>MID(Table3[[#This Row],[Statement Code]],FIND("- ",Table3[[#This Row],[Statement Code]])+2,100)</f>
        <v>#VALUE!</v>
      </c>
      <c r="D275" s="602" t="s">
        <v>982</v>
      </c>
      <c r="E275" s="601" t="s">
        <v>972</v>
      </c>
      <c r="F275" s="601" t="s">
        <v>551</v>
      </c>
      <c r="G275" s="601">
        <v>1.1579999999999999</v>
      </c>
      <c r="H275" s="601">
        <v>0.97799999999999998</v>
      </c>
      <c r="I275" s="601">
        <v>1.6830000000000001</v>
      </c>
      <c r="J275" s="601">
        <v>1.1160000000000001</v>
      </c>
      <c r="K275" s="601">
        <v>0.89900000000000002</v>
      </c>
      <c r="L275" s="601">
        <v>1.294</v>
      </c>
    </row>
    <row r="276" spans="1:12" hidden="1">
      <c r="A276" s="601" t="s">
        <v>977</v>
      </c>
      <c r="B276" s="601" t="str">
        <f t="shared" si="4"/>
        <v xml:space="preserve">LEVI </v>
      </c>
      <c r="C276" s="601" t="e">
        <f>MID(Table3[[#This Row],[Statement Code]],FIND("- ",Table3[[#This Row],[Statement Code]])+2,100)</f>
        <v>#VALUE!</v>
      </c>
      <c r="D276" s="602" t="s">
        <v>983</v>
      </c>
      <c r="E276" s="601" t="s">
        <v>972</v>
      </c>
      <c r="F276" s="601" t="s">
        <v>551</v>
      </c>
      <c r="G276" s="601">
        <v>-0.10299999999999999</v>
      </c>
      <c r="H276" s="601">
        <v>0.65600000000000003</v>
      </c>
      <c r="I276" s="601">
        <v>-0.35299999999999998</v>
      </c>
      <c r="J276" s="601">
        <v>4.0000000000000001E-3</v>
      </c>
      <c r="K276" s="601">
        <v>0.751</v>
      </c>
      <c r="L276" s="601">
        <v>0.96899999999999997</v>
      </c>
    </row>
    <row r="277" spans="1:12" hidden="1">
      <c r="A277" s="601" t="s">
        <v>977</v>
      </c>
      <c r="B277" s="601" t="str">
        <f t="shared" si="4"/>
        <v xml:space="preserve">LEVI </v>
      </c>
      <c r="C277" s="601" t="e">
        <f>MID(Table3[[#This Row],[Statement Code]],FIND("- ",Table3[[#This Row],[Statement Code]])+2,100)</f>
        <v>#VALUE!</v>
      </c>
      <c r="D277" s="602" t="s">
        <v>984</v>
      </c>
      <c r="E277" s="601" t="s">
        <v>972</v>
      </c>
      <c r="F277" s="601" t="s">
        <v>551</v>
      </c>
      <c r="G277" s="601">
        <v>-1.2E-2</v>
      </c>
      <c r="H277" s="601">
        <v>6.2E-2</v>
      </c>
      <c r="I277" s="601">
        <v>-2.9000000000000001E-2</v>
      </c>
      <c r="J277" s="601">
        <v>1E-3</v>
      </c>
      <c r="K277" s="601">
        <v>0.11799999999999999</v>
      </c>
      <c r="L277" s="601">
        <v>0.10199999999999999</v>
      </c>
    </row>
    <row r="278" spans="1:12" hidden="1">
      <c r="A278" s="601" t="s">
        <v>977</v>
      </c>
      <c r="B278" s="601" t="str">
        <f t="shared" si="4"/>
        <v xml:space="preserve">LEVI </v>
      </c>
      <c r="C278" s="601" t="e">
        <f>MID(Table3[[#This Row],[Statement Code]],FIND("- ",Table3[[#This Row],[Statement Code]])+2,100)</f>
        <v>#VALUE!</v>
      </c>
      <c r="D278" s="602" t="s">
        <v>985</v>
      </c>
      <c r="E278" s="601" t="s">
        <v>972</v>
      </c>
      <c r="F278" s="601" t="s">
        <v>551</v>
      </c>
      <c r="G278" s="601">
        <v>0.84</v>
      </c>
      <c r="H278" s="601">
        <v>0.91</v>
      </c>
      <c r="I278" s="601">
        <v>0.82</v>
      </c>
      <c r="J278" s="601">
        <v>0.63</v>
      </c>
      <c r="K278" s="601">
        <v>0.54</v>
      </c>
      <c r="L278" s="601">
        <v>0.67</v>
      </c>
    </row>
    <row r="279" spans="1:12" hidden="1">
      <c r="A279" s="601" t="s">
        <v>977</v>
      </c>
      <c r="B279" s="601" t="str">
        <f t="shared" si="4"/>
        <v xml:space="preserve">LEVI </v>
      </c>
      <c r="C279" s="601" t="e">
        <f>MID(Table3[[#This Row],[Statement Code]],FIND("- ",Table3[[#This Row],[Statement Code]])+2,100)</f>
        <v>#VALUE!</v>
      </c>
      <c r="D279" s="602" t="s">
        <v>986</v>
      </c>
      <c r="E279" s="601" t="s">
        <v>972</v>
      </c>
      <c r="F279" s="601" t="s">
        <v>551</v>
      </c>
      <c r="G279" s="601">
        <v>0.62</v>
      </c>
      <c r="H279" s="601">
        <v>0.52</v>
      </c>
      <c r="I279" s="601">
        <v>0.56999999999999995</v>
      </c>
      <c r="J279" s="601">
        <v>0.46</v>
      </c>
      <c r="K279" s="601">
        <v>0.47</v>
      </c>
      <c r="L279" s="601">
        <v>0.67</v>
      </c>
    </row>
    <row r="280" spans="1:12" hidden="1">
      <c r="A280" s="601" t="s">
        <v>977</v>
      </c>
      <c r="B280" s="601" t="str">
        <f t="shared" si="4"/>
        <v xml:space="preserve">LEVI </v>
      </c>
      <c r="C280" s="601" t="e">
        <f>MID(Table3[[#This Row],[Statement Code]],FIND("- ",Table3[[#This Row],[Statement Code]])+2,100)</f>
        <v>#VALUE!</v>
      </c>
      <c r="D280" s="602" t="s">
        <v>987</v>
      </c>
      <c r="E280" s="601" t="s">
        <v>972</v>
      </c>
      <c r="F280" s="601" t="s">
        <v>551</v>
      </c>
      <c r="G280" s="601">
        <v>5.2397999999999998</v>
      </c>
      <c r="H280" s="601">
        <v>3.6896</v>
      </c>
      <c r="I280" s="601">
        <v>5.1052</v>
      </c>
      <c r="J280" s="601">
        <v>3.1446000000000001</v>
      </c>
      <c r="K280" s="601">
        <v>2.3157999999999999</v>
      </c>
      <c r="L280" s="601">
        <v>3.2744</v>
      </c>
    </row>
    <row r="281" spans="1:12">
      <c r="A281" s="601" t="s">
        <v>988</v>
      </c>
      <c r="B281" s="601" t="str">
        <f t="shared" si="4"/>
        <v xml:space="preserve">LEVI </v>
      </c>
      <c r="C281" s="601" t="str">
        <f>MID(Table3[[#This Row],[Statement Code]],FIND("- ",Table3[[#This Row],[Statement Code]])+2,100)</f>
        <v>12MTH TRAILING EPS</v>
      </c>
      <c r="D281" s="602" t="s">
        <v>989</v>
      </c>
      <c r="E281" s="601" t="s">
        <v>972</v>
      </c>
      <c r="F281" s="601" t="s">
        <v>551</v>
      </c>
      <c r="G281" s="601">
        <v>1.07</v>
      </c>
      <c r="H281" s="601">
        <v>7.0000000000000007E-2</v>
      </c>
      <c r="I281" s="601">
        <v>1.1519999999999999</v>
      </c>
      <c r="J281" s="601">
        <v>1.528</v>
      </c>
      <c r="K281" s="601">
        <v>1.1830000000000001</v>
      </c>
      <c r="L281" s="601">
        <v>1.2150000000000001</v>
      </c>
    </row>
    <row r="282" spans="1:12" hidden="1">
      <c r="A282" s="601" t="s">
        <v>990</v>
      </c>
      <c r="B282" s="601" t="str">
        <f t="shared" si="4"/>
        <v xml:space="preserve">LEVI </v>
      </c>
      <c r="C282" s="601" t="str">
        <f>MID(Table3[[#This Row],[Statement Code]],FIND("- ",Table3[[#This Row],[Statement Code]])+2,100)</f>
        <v>DIV.PER SHR.</v>
      </c>
      <c r="D282" s="602" t="s">
        <v>991</v>
      </c>
      <c r="E282" s="601" t="s">
        <v>972</v>
      </c>
      <c r="F282" s="601" t="s">
        <v>551</v>
      </c>
      <c r="G282" s="601">
        <v>0.6</v>
      </c>
      <c r="H282" s="601">
        <v>0.32</v>
      </c>
      <c r="I282" s="601">
        <v>0.32</v>
      </c>
      <c r="J282" s="601">
        <v>0.48</v>
      </c>
      <c r="K282" s="601">
        <v>0.48</v>
      </c>
      <c r="L282" s="601">
        <v>0.52</v>
      </c>
    </row>
    <row r="283" spans="1:12" hidden="1">
      <c r="A283" s="601" t="s">
        <v>977</v>
      </c>
      <c r="B283" s="601" t="str">
        <f t="shared" si="4"/>
        <v xml:space="preserve">LEVI </v>
      </c>
      <c r="C283" s="601" t="e">
        <f>MID(Table3[[#This Row],[Statement Code]],FIND("- ",Table3[[#This Row],[Statement Code]])+2,100)</f>
        <v>#VALUE!</v>
      </c>
      <c r="D283" s="602" t="s">
        <v>992</v>
      </c>
      <c r="E283" s="601" t="s">
        <v>972</v>
      </c>
      <c r="F283" s="601" t="s">
        <v>551</v>
      </c>
      <c r="G283" s="601">
        <v>1.6919999999999999</v>
      </c>
      <c r="H283" s="601">
        <v>1.841</v>
      </c>
      <c r="I283" s="601">
        <v>1.175</v>
      </c>
      <c r="J283" s="601">
        <v>2.5499999999999998</v>
      </c>
      <c r="K283" s="601">
        <v>3.9430000000000001</v>
      </c>
      <c r="L283" s="601">
        <v>2.6970000000000001</v>
      </c>
    </row>
    <row r="284" spans="1:12" hidden="1">
      <c r="A284" s="601" t="s">
        <v>975</v>
      </c>
      <c r="B284" s="601" t="str">
        <f t="shared" si="4"/>
        <v xml:space="preserve">LEVI </v>
      </c>
      <c r="C284" s="601" t="str">
        <f>MID(Table3[[#This Row],[Statement Code]],FIND("- ",Table3[[#This Row],[Statement Code]])+2,100)</f>
        <v>12MTH FORWARD EPS</v>
      </c>
      <c r="D284" s="602" t="s">
        <v>976</v>
      </c>
      <c r="E284" s="601" t="s">
        <v>972</v>
      </c>
      <c r="F284" s="601" t="s">
        <v>551</v>
      </c>
      <c r="G284" s="601">
        <v>1.153</v>
      </c>
      <c r="H284" s="601">
        <v>0.66</v>
      </c>
      <c r="I284" s="601">
        <v>1.482</v>
      </c>
      <c r="J284" s="601">
        <v>1.615</v>
      </c>
      <c r="K284" s="601">
        <v>1.32</v>
      </c>
      <c r="L284" s="601">
        <v>1.393</v>
      </c>
    </row>
    <row r="285" spans="1:12" hidden="1">
      <c r="A285" s="601" t="s">
        <v>973</v>
      </c>
      <c r="B285" s="601" t="str">
        <f t="shared" si="4"/>
        <v xml:space="preserve">LEVI </v>
      </c>
      <c r="C285" s="601" t="str">
        <f>MID(Table3[[#This Row],[Statement Code]],FIND("- ",Table3[[#This Row],[Statement Code]])+2,100)</f>
        <v>PER</v>
      </c>
      <c r="D285" s="602" t="s">
        <v>974</v>
      </c>
      <c r="E285" s="601" t="s">
        <v>972</v>
      </c>
      <c r="F285" s="601" t="s">
        <v>551</v>
      </c>
      <c r="G285" s="601">
        <v>18.2</v>
      </c>
      <c r="H285" s="601" t="s">
        <v>23</v>
      </c>
      <c r="I285" s="601">
        <v>35.5</v>
      </c>
      <c r="J285" s="601">
        <v>12.1</v>
      </c>
      <c r="K285" s="601">
        <v>12.2</v>
      </c>
      <c r="L285" s="601">
        <v>55.4</v>
      </c>
    </row>
    <row r="286" spans="1:12" hidden="1">
      <c r="A286" s="601" t="s">
        <v>970</v>
      </c>
      <c r="B286" s="601" t="str">
        <f t="shared" si="4"/>
        <v xml:space="preserve">LEVI </v>
      </c>
      <c r="C286" s="601" t="str">
        <f>MID(Table3[[#This Row],[Statement Code]],FIND("- ",Table3[[#This Row],[Statement Code]])+2,100)</f>
        <v>MARKET VALUE</v>
      </c>
      <c r="D286" s="602" t="s">
        <v>971</v>
      </c>
      <c r="E286" s="601" t="s">
        <v>972</v>
      </c>
      <c r="F286" s="601" t="s">
        <v>551</v>
      </c>
      <c r="G286" s="601">
        <v>771.65</v>
      </c>
      <c r="H286" s="601">
        <v>823.94</v>
      </c>
      <c r="I286" s="601">
        <v>2432.6999999999998</v>
      </c>
      <c r="J286" s="601">
        <v>1722.57</v>
      </c>
      <c r="K286" s="601">
        <v>1325.34</v>
      </c>
      <c r="L286" s="601">
        <v>2079.62</v>
      </c>
    </row>
    <row r="287" spans="1:12" hidden="1">
      <c r="A287" s="601" t="s">
        <v>993</v>
      </c>
      <c r="B287" s="601" t="str">
        <f t="shared" si="4"/>
        <v xml:space="preserve">LEVI </v>
      </c>
      <c r="C287" s="601" t="str">
        <f>MID(Table3[[#This Row],[Statement Code]],FIND("- ",Table3[[#This Row],[Statement Code]])+2,100)</f>
        <v>EARNINGS PER SHR</v>
      </c>
      <c r="D287" s="602" t="s">
        <v>994</v>
      </c>
      <c r="E287" s="601" t="s">
        <v>972</v>
      </c>
      <c r="F287" s="601" t="s">
        <v>551</v>
      </c>
      <c r="G287" s="601">
        <v>1.01</v>
      </c>
      <c r="H287" s="601">
        <v>0</v>
      </c>
      <c r="I287" s="601">
        <v>0.71</v>
      </c>
      <c r="J287" s="601">
        <v>1.45</v>
      </c>
      <c r="K287" s="601">
        <v>1.0900000000000001</v>
      </c>
      <c r="L287" s="601">
        <v>0.36</v>
      </c>
    </row>
    <row r="288" spans="1:12" hidden="1">
      <c r="A288" s="601" t="s">
        <v>977</v>
      </c>
      <c r="B288" s="601" t="str">
        <f t="shared" si="4"/>
        <v xml:space="preserve">LEVI </v>
      </c>
      <c r="C288" s="601" t="e">
        <f>MID(Table3[[#This Row],[Statement Code]],FIND("- ",Table3[[#This Row],[Statement Code]])+2,100)</f>
        <v>#VALUE!</v>
      </c>
      <c r="D288" s="602" t="s">
        <v>995</v>
      </c>
      <c r="E288" s="601" t="s">
        <v>972</v>
      </c>
      <c r="F288" s="601" t="s">
        <v>23</v>
      </c>
      <c r="G288" s="601">
        <v>1.8752</v>
      </c>
      <c r="H288" s="601">
        <v>1.1415999999999999</v>
      </c>
      <c r="I288" s="601">
        <v>1.2576000000000001</v>
      </c>
      <c r="J288" s="601">
        <v>1.1839</v>
      </c>
      <c r="K288" s="601">
        <v>1.1791</v>
      </c>
      <c r="L288" s="601">
        <v>1.1352</v>
      </c>
    </row>
    <row r="289" spans="1:12" hidden="1">
      <c r="A289" s="601" t="s">
        <v>977</v>
      </c>
      <c r="B289" s="601" t="str">
        <f t="shared" si="4"/>
        <v xml:space="preserve">LEVI </v>
      </c>
      <c r="C289" s="601" t="e">
        <f>MID(Table3[[#This Row],[Statement Code]],FIND("- ",Table3[[#This Row],[Statement Code]])+2,100)</f>
        <v>#VALUE!</v>
      </c>
      <c r="D289" s="602" t="s">
        <v>996</v>
      </c>
      <c r="E289" s="601" t="s">
        <v>972</v>
      </c>
      <c r="F289" s="601" t="s">
        <v>23</v>
      </c>
      <c r="G289" s="601">
        <v>0.34289999999999998</v>
      </c>
      <c r="H289" s="601">
        <v>0.46860000000000002</v>
      </c>
      <c r="I289" s="601">
        <v>0.46439999999999998</v>
      </c>
      <c r="J289" s="601">
        <v>0.42480000000000001</v>
      </c>
      <c r="K289" s="601">
        <v>0.40629999999999999</v>
      </c>
      <c r="L289" s="601">
        <v>0.39810000000000001</v>
      </c>
    </row>
    <row r="290" spans="1:12" hidden="1">
      <c r="A290" s="601" t="s">
        <v>997</v>
      </c>
      <c r="B290" s="601" t="str">
        <f t="shared" si="4"/>
        <v xml:space="preserve">LEVI </v>
      </c>
      <c r="C290" s="601" t="str">
        <f>MID(Table3[[#This Row],[Statement Code]],FIND("- ",Table3[[#This Row],[Statement Code]])+2,100)</f>
        <v>ACCOUNTS PAYABLE</v>
      </c>
      <c r="D290" s="602" t="s">
        <v>998</v>
      </c>
      <c r="E290" s="601" t="s">
        <v>972</v>
      </c>
      <c r="F290" s="601" t="s">
        <v>551</v>
      </c>
      <c r="G290" s="601">
        <v>360324</v>
      </c>
      <c r="H290" s="601">
        <v>375450</v>
      </c>
      <c r="I290" s="601">
        <v>524838</v>
      </c>
      <c r="J290" s="601">
        <v>657200</v>
      </c>
      <c r="K290" s="601">
        <v>567900</v>
      </c>
      <c r="L290" s="601" t="s">
        <v>23</v>
      </c>
    </row>
    <row r="291" spans="1:12" hidden="1">
      <c r="A291" s="601" t="s">
        <v>999</v>
      </c>
      <c r="B291" s="601" t="str">
        <f t="shared" si="4"/>
        <v xml:space="preserve">LEVI </v>
      </c>
      <c r="C291" s="601" t="str">
        <f>MID(Table3[[#This Row],[Statement Code]],FIND("- ",Table3[[#This Row],[Statement Code]])+2,100)</f>
        <v>AMORT &amp; IMPAIR OF GOODWILL</v>
      </c>
      <c r="D291" s="602" t="s">
        <v>1000</v>
      </c>
      <c r="E291" s="601" t="s">
        <v>972</v>
      </c>
      <c r="F291" s="601" t="s">
        <v>551</v>
      </c>
      <c r="G291" s="601" t="s">
        <v>23</v>
      </c>
      <c r="H291" s="601" t="s">
        <v>23</v>
      </c>
      <c r="I291" s="601" t="s">
        <v>23</v>
      </c>
      <c r="J291" s="601">
        <v>15700</v>
      </c>
      <c r="K291" s="601">
        <v>75400</v>
      </c>
      <c r="L291" s="601" t="s">
        <v>23</v>
      </c>
    </row>
    <row r="292" spans="1:12" hidden="1">
      <c r="A292" s="601" t="s">
        <v>1001</v>
      </c>
      <c r="B292" s="601" t="str">
        <f t="shared" si="4"/>
        <v xml:space="preserve">LEVI </v>
      </c>
      <c r="C292" s="601" t="str">
        <f>MID(Table3[[#This Row],[Statement Code]],FIND("- ",Table3[[#This Row],[Statement Code]])+2,100)</f>
        <v>AMORTIZATION OF DEFERRED CHARG</v>
      </c>
      <c r="D292" s="602" t="s">
        <v>1002</v>
      </c>
      <c r="E292" s="601" t="s">
        <v>972</v>
      </c>
      <c r="F292" s="601" t="s">
        <v>551</v>
      </c>
      <c r="G292" s="601">
        <v>0</v>
      </c>
      <c r="H292" s="601">
        <v>0</v>
      </c>
      <c r="I292" s="601">
        <v>0</v>
      </c>
      <c r="J292" s="601">
        <v>0</v>
      </c>
      <c r="K292" s="601">
        <v>0</v>
      </c>
      <c r="L292" s="601" t="s">
        <v>23</v>
      </c>
    </row>
    <row r="293" spans="1:12" hidden="1">
      <c r="A293" s="601" t="s">
        <v>1003</v>
      </c>
      <c r="B293" s="601" t="str">
        <f t="shared" si="4"/>
        <v xml:space="preserve">LEVI </v>
      </c>
      <c r="C293" s="601" t="str">
        <f>MID(Table3[[#This Row],[Statement Code]],FIND("- ",Table3[[#This Row],[Statement Code]])+2,100)</f>
        <v>AMORTIZATION-INTANGIBLE ASSETS</v>
      </c>
      <c r="D293" s="602" t="s">
        <v>1004</v>
      </c>
      <c r="E293" s="601" t="s">
        <v>972</v>
      </c>
      <c r="F293" s="601" t="s">
        <v>551</v>
      </c>
      <c r="G293" s="601" t="s">
        <v>23</v>
      </c>
      <c r="H293" s="601" t="s">
        <v>23</v>
      </c>
      <c r="I293" s="601" t="s">
        <v>23</v>
      </c>
      <c r="J293" s="601">
        <v>4300</v>
      </c>
      <c r="K293" s="601">
        <v>4400</v>
      </c>
      <c r="L293" s="601" t="s">
        <v>23</v>
      </c>
    </row>
    <row r="294" spans="1:12" hidden="1">
      <c r="A294" s="601" t="s">
        <v>1005</v>
      </c>
      <c r="B294" s="601" t="str">
        <f t="shared" si="4"/>
        <v xml:space="preserve">LEVI </v>
      </c>
      <c r="C294" s="601" t="str">
        <f>MID(Table3[[#This Row],[Statement Code]],FIND("- ",Table3[[#This Row],[Statement Code]])+2,100)</f>
        <v>AMORTIZATION OF INTANGIBLES</v>
      </c>
      <c r="D294" s="602" t="s">
        <v>1006</v>
      </c>
      <c r="E294" s="601" t="s">
        <v>972</v>
      </c>
      <c r="F294" s="601" t="s">
        <v>551</v>
      </c>
      <c r="G294" s="601" t="s">
        <v>23</v>
      </c>
      <c r="H294" s="601">
        <v>5200</v>
      </c>
      <c r="I294" s="601">
        <v>1100</v>
      </c>
      <c r="J294" s="601">
        <v>4300</v>
      </c>
      <c r="K294" s="601">
        <v>4400</v>
      </c>
      <c r="L294" s="601" t="s">
        <v>23</v>
      </c>
    </row>
    <row r="295" spans="1:12" hidden="1">
      <c r="A295" s="601" t="s">
        <v>1007</v>
      </c>
      <c r="B295" s="601" t="str">
        <f t="shared" si="4"/>
        <v xml:space="preserve">LEVI </v>
      </c>
      <c r="C295" s="601" t="str">
        <f>MID(Table3[[#This Row],[Statement Code]],FIND("- ",Table3[[#This Row],[Statement Code]])+2,100)</f>
        <v>BOOK VALUE-OUT SHARES-FISCAL</v>
      </c>
      <c r="D295" s="602" t="s">
        <v>1008</v>
      </c>
      <c r="E295" s="601" t="s">
        <v>972</v>
      </c>
      <c r="F295" s="601" t="s">
        <v>551</v>
      </c>
      <c r="G295" s="601">
        <v>3.9710000000000001</v>
      </c>
      <c r="H295" s="601">
        <v>3.266</v>
      </c>
      <c r="I295" s="601">
        <v>4.1660000000000004</v>
      </c>
      <c r="J295" s="601">
        <v>4.835</v>
      </c>
      <c r="K295" s="601">
        <v>5.15</v>
      </c>
      <c r="L295" s="601" t="s">
        <v>23</v>
      </c>
    </row>
    <row r="296" spans="1:12" hidden="1">
      <c r="A296" s="601" t="s">
        <v>1009</v>
      </c>
      <c r="B296" s="601" t="str">
        <f t="shared" si="4"/>
        <v xml:space="preserve">LEVI </v>
      </c>
      <c r="C296" s="601" t="str">
        <f>MID(Table3[[#This Row],[Statement Code]],FIND("- ",Table3[[#This Row],[Statement Code]])+2,100)</f>
        <v>BOOK VALUE PER SHARE</v>
      </c>
      <c r="D296" s="602" t="s">
        <v>1010</v>
      </c>
      <c r="E296" s="601" t="s">
        <v>972</v>
      </c>
      <c r="F296" s="601" t="s">
        <v>551</v>
      </c>
      <c r="G296" s="601">
        <v>3.9710000000000001</v>
      </c>
      <c r="H296" s="601">
        <v>3.266</v>
      </c>
      <c r="I296" s="601">
        <v>4.1660000000000004</v>
      </c>
      <c r="J296" s="601">
        <v>4.835</v>
      </c>
      <c r="K296" s="601">
        <v>5.15</v>
      </c>
      <c r="L296" s="601" t="s">
        <v>23</v>
      </c>
    </row>
    <row r="297" spans="1:12">
      <c r="A297" s="601" t="s">
        <v>1011</v>
      </c>
      <c r="B297" s="601" t="str">
        <f t="shared" si="4"/>
        <v xml:space="preserve">LEVI </v>
      </c>
      <c r="C297" s="601" t="str">
        <f>MID(Table3[[#This Row],[Statement Code]],FIND("- ",Table3[[#This Row],[Statement Code]])+2,100)</f>
        <v>CAPITAL EXPENDITURES</v>
      </c>
      <c r="D297" s="602" t="s">
        <v>1012</v>
      </c>
      <c r="E297" s="601" t="s">
        <v>972</v>
      </c>
      <c r="F297" s="601" t="s">
        <v>551</v>
      </c>
      <c r="G297" s="601">
        <v>175356</v>
      </c>
      <c r="H297" s="601">
        <v>130383</v>
      </c>
      <c r="I297" s="601">
        <v>166944</v>
      </c>
      <c r="J297" s="601">
        <v>267100</v>
      </c>
      <c r="K297" s="601">
        <v>315500</v>
      </c>
      <c r="L297" s="601" t="s">
        <v>23</v>
      </c>
    </row>
    <row r="298" spans="1:12" hidden="1">
      <c r="A298" s="601" t="s">
        <v>1013</v>
      </c>
      <c r="B298" s="601" t="str">
        <f t="shared" si="4"/>
        <v xml:space="preserve">LEVI </v>
      </c>
      <c r="C298" s="601" t="str">
        <f>MID(Table3[[#This Row],[Statement Code]],FIND("- ",Table3[[#This Row],[Statement Code]])+2,100)</f>
        <v>CASH</v>
      </c>
      <c r="D298" s="602" t="s">
        <v>1014</v>
      </c>
      <c r="E298" s="601" t="s">
        <v>972</v>
      </c>
      <c r="F298" s="601" t="s">
        <v>551</v>
      </c>
      <c r="G298" s="601">
        <v>934237</v>
      </c>
      <c r="H298" s="601">
        <v>1497155</v>
      </c>
      <c r="I298" s="601">
        <v>810266</v>
      </c>
      <c r="J298" s="601">
        <v>429600</v>
      </c>
      <c r="K298" s="601">
        <v>398800</v>
      </c>
      <c r="L298" s="601" t="s">
        <v>23</v>
      </c>
    </row>
    <row r="299" spans="1:12" hidden="1">
      <c r="A299" s="601" t="s">
        <v>1015</v>
      </c>
      <c r="B299" s="601" t="str">
        <f t="shared" si="4"/>
        <v xml:space="preserve">LEVI </v>
      </c>
      <c r="C299" s="601" t="str">
        <f>MID(Table3[[#This Row],[Statement Code]],FIND("- ",Table3[[#This Row],[Statement Code]])+2,100)</f>
        <v>CASH - GENERIC</v>
      </c>
      <c r="D299" s="602" t="s">
        <v>1016</v>
      </c>
      <c r="E299" s="601" t="s">
        <v>972</v>
      </c>
      <c r="F299" s="601" t="s">
        <v>551</v>
      </c>
      <c r="G299" s="601">
        <v>1014978</v>
      </c>
      <c r="H299" s="601">
        <v>1593686</v>
      </c>
      <c r="I299" s="601">
        <v>901816</v>
      </c>
      <c r="J299" s="601">
        <v>500200</v>
      </c>
      <c r="K299" s="601">
        <v>398800</v>
      </c>
      <c r="L299" s="601" t="s">
        <v>23</v>
      </c>
    </row>
    <row r="300" spans="1:12">
      <c r="A300" s="601" t="s">
        <v>1017</v>
      </c>
      <c r="B300" s="601" t="str">
        <f t="shared" si="4"/>
        <v xml:space="preserve">LEVI </v>
      </c>
      <c r="C300" s="601" t="str">
        <f>MID(Table3[[#This Row],[Statement Code]],FIND("- ",Table3[[#This Row],[Statement Code]])+2,100)</f>
        <v>CASH &amp; SHORT TERM INVESTMENTS</v>
      </c>
      <c r="D300" s="602" t="s">
        <v>1018</v>
      </c>
      <c r="E300" s="601" t="s">
        <v>972</v>
      </c>
      <c r="F300" s="601" t="s">
        <v>551</v>
      </c>
      <c r="G300" s="601">
        <v>1014978</v>
      </c>
      <c r="H300" s="601">
        <v>1593686</v>
      </c>
      <c r="I300" s="601">
        <v>901816</v>
      </c>
      <c r="J300" s="601">
        <v>500200</v>
      </c>
      <c r="K300" s="601">
        <v>398800</v>
      </c>
      <c r="L300" s="601" t="s">
        <v>23</v>
      </c>
    </row>
    <row r="301" spans="1:12" hidden="1">
      <c r="A301" s="601" t="s">
        <v>1019</v>
      </c>
      <c r="B301" s="601" t="str">
        <f t="shared" si="4"/>
        <v xml:space="preserve">LEVI </v>
      </c>
      <c r="C301" s="601" t="str">
        <f>MID(Table3[[#This Row],[Statement Code]],FIND("- ",Table3[[#This Row],[Statement Code]])+2,100)</f>
        <v>CASH DIVIDENDS PAID - TOTAL</v>
      </c>
      <c r="D301" s="602" t="s">
        <v>1020</v>
      </c>
      <c r="E301" s="601" t="s">
        <v>972</v>
      </c>
      <c r="F301" s="601" t="s">
        <v>551</v>
      </c>
      <c r="G301" s="601">
        <v>113914</v>
      </c>
      <c r="H301" s="601">
        <v>63639</v>
      </c>
      <c r="I301" s="601">
        <v>104431</v>
      </c>
      <c r="J301" s="601">
        <v>174300</v>
      </c>
      <c r="K301" s="601">
        <v>190500</v>
      </c>
      <c r="L301" s="601" t="s">
        <v>23</v>
      </c>
    </row>
    <row r="302" spans="1:12" hidden="1">
      <c r="A302" s="601" t="s">
        <v>1021</v>
      </c>
      <c r="B302" s="601" t="str">
        <f t="shared" si="4"/>
        <v xml:space="preserve">LEVI </v>
      </c>
      <c r="C302" s="601" t="str">
        <f>MID(Table3[[#This Row],[Statement Code]],FIND("- ",Table3[[#This Row],[Statement Code]])+2,100)</f>
        <v>CASH FLOW PER SHARE</v>
      </c>
      <c r="D302" s="602" t="s">
        <v>1022</v>
      </c>
      <c r="E302" s="601" t="s">
        <v>972</v>
      </c>
      <c r="F302" s="601" t="s">
        <v>551</v>
      </c>
      <c r="G302" s="601">
        <v>1.41</v>
      </c>
      <c r="H302" s="601">
        <v>0.219</v>
      </c>
      <c r="I302" s="601">
        <v>1.857</v>
      </c>
      <c r="J302" s="601">
        <v>1.927</v>
      </c>
      <c r="K302" s="601">
        <v>1.3540000000000001</v>
      </c>
      <c r="L302" s="601" t="s">
        <v>23</v>
      </c>
    </row>
    <row r="303" spans="1:12" hidden="1">
      <c r="A303" s="601" t="s">
        <v>1023</v>
      </c>
      <c r="B303" s="601" t="str">
        <f t="shared" si="4"/>
        <v xml:space="preserve">LEVI </v>
      </c>
      <c r="C303" s="601" t="str">
        <f>MID(Table3[[#This Row],[Statement Code]],FIND("- ",Table3[[#This Row],[Statement Code]])+2,100)</f>
        <v>CASH FLOW PER SHARE - FIS YR</v>
      </c>
      <c r="D303" s="602" t="s">
        <v>1024</v>
      </c>
      <c r="E303" s="601" t="s">
        <v>972</v>
      </c>
      <c r="F303" s="601" t="s">
        <v>551</v>
      </c>
      <c r="G303" s="601">
        <v>1.41</v>
      </c>
      <c r="H303" s="601">
        <v>0.219</v>
      </c>
      <c r="I303" s="601">
        <v>1.857</v>
      </c>
      <c r="J303" s="601">
        <v>1.927</v>
      </c>
      <c r="K303" s="601">
        <v>1.3540000000000001</v>
      </c>
      <c r="L303" s="601" t="s">
        <v>23</v>
      </c>
    </row>
    <row r="304" spans="1:12" hidden="1">
      <c r="A304" s="601" t="s">
        <v>1025</v>
      </c>
      <c r="B304" s="601" t="str">
        <f t="shared" si="4"/>
        <v xml:space="preserve">LEVI </v>
      </c>
      <c r="C304" s="601" t="str">
        <f>MID(Table3[[#This Row],[Statement Code]],FIND("- ",Table3[[#This Row],[Statement Code]])+2,100)</f>
        <v>COMMON DIVIDENDS (CASH)</v>
      </c>
      <c r="D304" s="602" t="s">
        <v>1026</v>
      </c>
      <c r="E304" s="601" t="s">
        <v>972</v>
      </c>
      <c r="F304" s="601" t="s">
        <v>551</v>
      </c>
      <c r="G304" s="601">
        <v>113914</v>
      </c>
      <c r="H304" s="601">
        <v>63639</v>
      </c>
      <c r="I304" s="601">
        <v>104431</v>
      </c>
      <c r="J304" s="601">
        <v>174300</v>
      </c>
      <c r="K304" s="601">
        <v>190500</v>
      </c>
      <c r="L304" s="601" t="s">
        <v>23</v>
      </c>
    </row>
    <row r="305" spans="1:12" hidden="1">
      <c r="A305" s="601" t="s">
        <v>1027</v>
      </c>
      <c r="B305" s="601" t="str">
        <f t="shared" si="4"/>
        <v xml:space="preserve">LEVI </v>
      </c>
      <c r="C305" s="601" t="str">
        <f>MID(Table3[[#This Row],[Statement Code]],FIND("- ",Table3[[#This Row],[Statement Code]])+2,100)</f>
        <v>COMMON SHAREHOLDERS' EQUITY</v>
      </c>
      <c r="D305" s="602" t="s">
        <v>1028</v>
      </c>
      <c r="E305" s="601" t="s">
        <v>972</v>
      </c>
      <c r="F305" s="601" t="s">
        <v>551</v>
      </c>
      <c r="G305" s="601">
        <v>1563531</v>
      </c>
      <c r="H305" s="601">
        <v>1299475</v>
      </c>
      <c r="I305" s="601">
        <v>1665661</v>
      </c>
      <c r="J305" s="601">
        <v>1903700</v>
      </c>
      <c r="K305" s="601">
        <v>2046400</v>
      </c>
      <c r="L305" s="601" t="s">
        <v>23</v>
      </c>
    </row>
    <row r="306" spans="1:12">
      <c r="A306" s="601" t="s">
        <v>1029</v>
      </c>
      <c r="B306" s="601" t="str">
        <f t="shared" si="4"/>
        <v xml:space="preserve">LEVI </v>
      </c>
      <c r="C306" s="601" t="str">
        <f>MID(Table3[[#This Row],[Statement Code]],FIND("- ",Table3[[#This Row],[Statement Code]])+2,100)</f>
        <v>COMMON STOCK</v>
      </c>
      <c r="D306" s="602" t="s">
        <v>1030</v>
      </c>
      <c r="E306" s="601" t="s">
        <v>972</v>
      </c>
      <c r="F306" s="601" t="s">
        <v>551</v>
      </c>
      <c r="G306" s="601">
        <v>394</v>
      </c>
      <c r="H306" s="601">
        <v>398</v>
      </c>
      <c r="I306" s="601">
        <v>400</v>
      </c>
      <c r="J306" s="601">
        <v>400</v>
      </c>
      <c r="K306" s="601">
        <v>400</v>
      </c>
      <c r="L306" s="601" t="s">
        <v>23</v>
      </c>
    </row>
    <row r="307" spans="1:12" hidden="1">
      <c r="A307" s="601" t="s">
        <v>1031</v>
      </c>
      <c r="B307" s="601" t="str">
        <f t="shared" si="4"/>
        <v xml:space="preserve">LEVI </v>
      </c>
      <c r="C307" s="601" t="str">
        <f>MID(Table3[[#This Row],[Statement Code]],FIND("- ",Table3[[#This Row],[Statement Code]])+2,100)</f>
        <v>COST OF GOODS SOLD (EXCL DEP)</v>
      </c>
      <c r="D307" s="602" t="s">
        <v>1032</v>
      </c>
      <c r="E307" s="601" t="s">
        <v>972</v>
      </c>
      <c r="F307" s="601" t="s">
        <v>551</v>
      </c>
      <c r="G307" s="601">
        <v>2537772</v>
      </c>
      <c r="H307" s="601">
        <v>1957885</v>
      </c>
      <c r="I307" s="601">
        <v>2274025</v>
      </c>
      <c r="J307" s="601">
        <v>2460900</v>
      </c>
      <c r="K307" s="601">
        <v>2498000</v>
      </c>
      <c r="L307" s="601" t="s">
        <v>23</v>
      </c>
    </row>
    <row r="308" spans="1:12">
      <c r="A308" s="601" t="s">
        <v>1033</v>
      </c>
      <c r="B308" s="601" t="str">
        <f t="shared" si="4"/>
        <v xml:space="preserve">LEVI </v>
      </c>
      <c r="C308" s="601" t="str">
        <f>MID(Table3[[#This Row],[Statement Code]],FIND("- ",Table3[[#This Row],[Statement Code]])+2,100)</f>
        <v>CURRENT ASSETS - TOTAL</v>
      </c>
      <c r="D308" s="602" t="s">
        <v>1034</v>
      </c>
      <c r="E308" s="601" t="s">
        <v>972</v>
      </c>
      <c r="F308" s="601" t="s">
        <v>551</v>
      </c>
      <c r="G308" s="601">
        <v>2870186</v>
      </c>
      <c r="H308" s="601">
        <v>3126241</v>
      </c>
      <c r="I308" s="601">
        <v>2709901</v>
      </c>
      <c r="J308" s="601">
        <v>2827900</v>
      </c>
      <c r="K308" s="601">
        <v>2637600</v>
      </c>
      <c r="L308" s="601" t="s">
        <v>23</v>
      </c>
    </row>
    <row r="309" spans="1:12">
      <c r="A309" s="601" t="s">
        <v>1035</v>
      </c>
      <c r="B309" s="601" t="str">
        <f t="shared" si="4"/>
        <v xml:space="preserve">LEVI </v>
      </c>
      <c r="C309" s="601" t="str">
        <f>MID(Table3[[#This Row],[Statement Code]],FIND("- ",Table3[[#This Row],[Statement Code]])+2,100)</f>
        <v>CURRENT LIABILITIES-TOTAL</v>
      </c>
      <c r="D309" s="602" t="s">
        <v>1036</v>
      </c>
      <c r="E309" s="601" t="s">
        <v>972</v>
      </c>
      <c r="F309" s="601" t="s">
        <v>551</v>
      </c>
      <c r="G309" s="601">
        <v>1167204</v>
      </c>
      <c r="H309" s="601">
        <v>1548882</v>
      </c>
      <c r="I309" s="601">
        <v>1869618</v>
      </c>
      <c r="J309" s="601">
        <v>1981600</v>
      </c>
      <c r="K309" s="601">
        <v>1787500</v>
      </c>
      <c r="L309" s="601" t="s">
        <v>23</v>
      </c>
    </row>
    <row r="310" spans="1:12" hidden="1">
      <c r="A310" s="601" t="s">
        <v>1037</v>
      </c>
      <c r="B310" s="601" t="str">
        <f t="shared" si="4"/>
        <v xml:space="preserve">LEVI </v>
      </c>
      <c r="C310" s="601" t="str">
        <f>MID(Table3[[#This Row],[Statement Code]],FIND("- ",Table3[[#This Row],[Statement Code]])+2,100)</f>
        <v>DEFERRED TAXES</v>
      </c>
      <c r="D310" s="602" t="s">
        <v>1038</v>
      </c>
      <c r="E310" s="601" t="s">
        <v>972</v>
      </c>
      <c r="F310" s="601" t="s">
        <v>551</v>
      </c>
      <c r="G310" s="601">
        <v>-407905</v>
      </c>
      <c r="H310" s="601">
        <v>-497556</v>
      </c>
      <c r="I310" s="601">
        <v>-573114</v>
      </c>
      <c r="J310" s="601">
        <v>-625000</v>
      </c>
      <c r="K310" s="601">
        <v>-729500</v>
      </c>
      <c r="L310" s="601" t="s">
        <v>23</v>
      </c>
    </row>
    <row r="311" spans="1:12" hidden="1">
      <c r="A311" s="601" t="s">
        <v>1039</v>
      </c>
      <c r="B311" s="601" t="str">
        <f t="shared" si="4"/>
        <v xml:space="preserve">LEVI </v>
      </c>
      <c r="C311" s="601" t="str">
        <f>MID(Table3[[#This Row],[Statement Code]],FIND("- ",Table3[[#This Row],[Statement Code]])+2,100)</f>
        <v>DEPRECIATION AND DEPLETION</v>
      </c>
      <c r="D311" s="602" t="s">
        <v>1040</v>
      </c>
      <c r="E311" s="601" t="s">
        <v>972</v>
      </c>
      <c r="F311" s="601" t="s">
        <v>551</v>
      </c>
      <c r="G311" s="601">
        <v>123942</v>
      </c>
      <c r="H311" s="601">
        <v>141795</v>
      </c>
      <c r="I311" s="601">
        <v>143167</v>
      </c>
      <c r="J311" s="601">
        <v>154600</v>
      </c>
      <c r="K311" s="601">
        <v>160900</v>
      </c>
      <c r="L311" s="601" t="s">
        <v>23</v>
      </c>
    </row>
    <row r="312" spans="1:12">
      <c r="A312" s="601" t="s">
        <v>1041</v>
      </c>
      <c r="B312" s="601" t="str">
        <f t="shared" si="4"/>
        <v xml:space="preserve">LEVI </v>
      </c>
      <c r="C312" s="601" t="str">
        <f>MID(Table3[[#This Row],[Statement Code]],FIND("- ",Table3[[#This Row],[Statement Code]])+2,100)</f>
        <v>DEPRECIATION/DEPLETION/AMORT</v>
      </c>
      <c r="D312" s="602" t="s">
        <v>1042</v>
      </c>
      <c r="E312" s="601" t="s">
        <v>972</v>
      </c>
      <c r="F312" s="601" t="s">
        <v>551</v>
      </c>
      <c r="G312" s="601">
        <v>123942</v>
      </c>
      <c r="H312" s="601">
        <v>141800</v>
      </c>
      <c r="I312" s="601">
        <v>143200</v>
      </c>
      <c r="J312" s="601">
        <v>158900</v>
      </c>
      <c r="K312" s="601">
        <v>165300</v>
      </c>
      <c r="L312" s="601" t="s">
        <v>23</v>
      </c>
    </row>
    <row r="313" spans="1:12" hidden="1">
      <c r="A313" s="601" t="s">
        <v>1043</v>
      </c>
      <c r="B313" s="601" t="str">
        <f t="shared" si="4"/>
        <v xml:space="preserve">LEVI </v>
      </c>
      <c r="C313" s="601" t="str">
        <f>MID(Table3[[#This Row],[Statement Code]],FIND("- ",Table3[[#This Row],[Statement Code]])+2,100)</f>
        <v>DIVIDENDS PER SHARE</v>
      </c>
      <c r="D313" s="602" t="s">
        <v>1044</v>
      </c>
      <c r="E313" s="601" t="s">
        <v>972</v>
      </c>
      <c r="F313" s="601" t="s">
        <v>551</v>
      </c>
      <c r="G313" s="601">
        <v>0.15</v>
      </c>
      <c r="H313" s="601">
        <v>0.16</v>
      </c>
      <c r="I313" s="601">
        <v>0.26</v>
      </c>
      <c r="J313" s="601">
        <v>0.44</v>
      </c>
      <c r="K313" s="601">
        <v>0.48</v>
      </c>
      <c r="L313" s="601" t="s">
        <v>23</v>
      </c>
    </row>
    <row r="314" spans="1:12" hidden="1">
      <c r="A314" s="601" t="s">
        <v>1045</v>
      </c>
      <c r="B314" s="601" t="str">
        <f t="shared" si="4"/>
        <v xml:space="preserve">LEVI </v>
      </c>
      <c r="C314" s="601" t="str">
        <f>MID(Table3[[#This Row],[Statement Code]],FIND("- ",Table3[[#This Row],[Statement Code]])+2,100)</f>
        <v>DIVIDENDS PER SHARE - FISCAL</v>
      </c>
      <c r="D314" s="602" t="s">
        <v>1046</v>
      </c>
      <c r="E314" s="601" t="s">
        <v>972</v>
      </c>
      <c r="F314" s="601" t="s">
        <v>551</v>
      </c>
      <c r="G314" s="601">
        <v>0.15</v>
      </c>
      <c r="H314" s="601">
        <v>0.16</v>
      </c>
      <c r="I314" s="601">
        <v>0.26</v>
      </c>
      <c r="J314" s="601">
        <v>0.44</v>
      </c>
      <c r="K314" s="601">
        <v>0.48</v>
      </c>
      <c r="L314" s="601" t="s">
        <v>23</v>
      </c>
    </row>
    <row r="315" spans="1:12">
      <c r="A315" s="601" t="s">
        <v>1047</v>
      </c>
      <c r="B315" s="601" t="str">
        <f t="shared" si="4"/>
        <v xml:space="preserve">LEVI </v>
      </c>
      <c r="C315" s="601" t="str">
        <f>MID(Table3[[#This Row],[Statement Code]],FIND("- ",Table3[[#This Row],[Statement Code]])+2,100)</f>
        <v>EARNINGS BEF INTEREST &amp; TAXES</v>
      </c>
      <c r="D315" s="602" t="s">
        <v>1048</v>
      </c>
      <c r="E315" s="601" t="s">
        <v>972</v>
      </c>
      <c r="F315" s="601" t="s">
        <v>551</v>
      </c>
      <c r="G315" s="601">
        <v>543832</v>
      </c>
      <c r="H315" s="601">
        <v>-107593</v>
      </c>
      <c r="I315" s="601">
        <v>653142</v>
      </c>
      <c r="J315" s="601">
        <v>675300</v>
      </c>
      <c r="K315" s="601">
        <v>311100</v>
      </c>
      <c r="L315" s="601" t="s">
        <v>23</v>
      </c>
    </row>
    <row r="316" spans="1:12" hidden="1">
      <c r="A316" s="601" t="s">
        <v>1049</v>
      </c>
      <c r="B316" s="601" t="str">
        <f t="shared" si="4"/>
        <v xml:space="preserve">LEVI </v>
      </c>
      <c r="C316" s="601" t="str">
        <f>MID(Table3[[#This Row],[Statement Code]],FIND("- ",Table3[[#This Row],[Statement Code]])+2,100)</f>
        <v>EBIT &amp; DEPRECIATION</v>
      </c>
      <c r="D316" s="602" t="s">
        <v>1050</v>
      </c>
      <c r="E316" s="601" t="s">
        <v>972</v>
      </c>
      <c r="F316" s="601" t="s">
        <v>551</v>
      </c>
      <c r="G316" s="601">
        <v>667774</v>
      </c>
      <c r="H316" s="601">
        <v>34207</v>
      </c>
      <c r="I316" s="601">
        <v>796342</v>
      </c>
      <c r="J316" s="601">
        <v>834200</v>
      </c>
      <c r="K316" s="601">
        <v>476400</v>
      </c>
      <c r="L316" s="601" t="s">
        <v>23</v>
      </c>
    </row>
    <row r="317" spans="1:12" hidden="1">
      <c r="A317" s="601" t="s">
        <v>1051</v>
      </c>
      <c r="B317" s="601" t="str">
        <f t="shared" si="4"/>
        <v xml:space="preserve">LEVI </v>
      </c>
      <c r="C317" s="601" t="str">
        <f>MID(Table3[[#This Row],[Statement Code]],FIND("- ",Table3[[#This Row],[Statement Code]])+2,100)</f>
        <v>EARNINGS PER SHARE</v>
      </c>
      <c r="D317" s="602" t="s">
        <v>1052</v>
      </c>
      <c r="E317" s="601" t="s">
        <v>972</v>
      </c>
      <c r="F317" s="601" t="s">
        <v>551</v>
      </c>
      <c r="G317" s="601">
        <v>0.96599999999999997</v>
      </c>
      <c r="H317" s="601">
        <v>-0.32</v>
      </c>
      <c r="I317" s="601">
        <v>1.351</v>
      </c>
      <c r="J317" s="601">
        <v>1.409</v>
      </c>
      <c r="K317" s="601">
        <v>0.621</v>
      </c>
      <c r="L317" s="601" t="s">
        <v>23</v>
      </c>
    </row>
    <row r="318" spans="1:12" hidden="1">
      <c r="A318" s="601" t="s">
        <v>1053</v>
      </c>
      <c r="B318" s="601" t="str">
        <f t="shared" si="4"/>
        <v xml:space="preserve">LEVI </v>
      </c>
      <c r="C318" s="601" t="str">
        <f>MID(Table3[[#This Row],[Statement Code]],FIND("- ",Table3[[#This Row],[Statement Code]])+2,100)</f>
        <v>FISCAL EPS-FULLY DILUTED-YR</v>
      </c>
      <c r="D318" s="602" t="s">
        <v>1054</v>
      </c>
      <c r="E318" s="601" t="s">
        <v>972</v>
      </c>
      <c r="F318" s="601" t="s">
        <v>551</v>
      </c>
      <c r="G318" s="601">
        <v>0.96599999999999997</v>
      </c>
      <c r="H318" s="601">
        <v>-0.32</v>
      </c>
      <c r="I318" s="601">
        <v>1.351</v>
      </c>
      <c r="J318" s="601">
        <v>1.409</v>
      </c>
      <c r="K318" s="601">
        <v>0.621</v>
      </c>
      <c r="L318" s="601" t="s">
        <v>23</v>
      </c>
    </row>
    <row r="319" spans="1:12" hidden="1">
      <c r="A319" s="601" t="s">
        <v>1055</v>
      </c>
      <c r="B319" s="601" t="str">
        <f t="shared" si="4"/>
        <v xml:space="preserve">LEVI </v>
      </c>
      <c r="C319" s="601" t="str">
        <f>MID(Table3[[#This Row],[Statement Code]],FIND("- ",Table3[[#This Row],[Statement Code]])+2,100)</f>
        <v>ENTERPRISE VALUE</v>
      </c>
      <c r="D319" s="602" t="s">
        <v>1056</v>
      </c>
      <c r="E319" s="601" t="s">
        <v>972</v>
      </c>
      <c r="F319" s="601" t="s">
        <v>551</v>
      </c>
      <c r="G319" s="601">
        <v>6697294</v>
      </c>
      <c r="H319" s="601">
        <v>7594412</v>
      </c>
      <c r="I319" s="601">
        <v>10998692</v>
      </c>
      <c r="J319" s="601">
        <v>6839019</v>
      </c>
      <c r="K319" s="601">
        <v>6738286</v>
      </c>
      <c r="L319" s="601" t="s">
        <v>23</v>
      </c>
    </row>
    <row r="320" spans="1:12">
      <c r="A320" s="601" t="s">
        <v>1057</v>
      </c>
      <c r="B320" s="601" t="str">
        <f t="shared" si="4"/>
        <v xml:space="preserve">LEVI </v>
      </c>
      <c r="C320" s="601" t="str">
        <f>MID(Table3[[#This Row],[Statement Code]],FIND("- ",Table3[[#This Row],[Statement Code]])+2,100)</f>
        <v>GROSS INCOME</v>
      </c>
      <c r="D320" s="602" t="s">
        <v>1058</v>
      </c>
      <c r="E320" s="601" t="s">
        <v>972</v>
      </c>
      <c r="F320" s="601" t="s">
        <v>551</v>
      </c>
      <c r="G320" s="601">
        <v>3101373</v>
      </c>
      <c r="H320" s="601">
        <v>2352924</v>
      </c>
      <c r="I320" s="601">
        <v>3346711</v>
      </c>
      <c r="J320" s="601">
        <v>3548800</v>
      </c>
      <c r="K320" s="601">
        <v>3515700</v>
      </c>
      <c r="L320" s="601" t="s">
        <v>23</v>
      </c>
    </row>
    <row r="321" spans="1:12" hidden="1">
      <c r="A321" s="601" t="s">
        <v>1059</v>
      </c>
      <c r="B321" s="601" t="str">
        <f t="shared" si="4"/>
        <v xml:space="preserve">LEVI </v>
      </c>
      <c r="C321" s="601" t="str">
        <f>MID(Table3[[#This Row],[Statement Code]],FIND("- ",Table3[[#This Row],[Statement Code]])+2,100)</f>
        <v>IMPAIRMENT OF GOODWILL</v>
      </c>
      <c r="D321" s="602" t="s">
        <v>1060</v>
      </c>
      <c r="E321" s="601" t="s">
        <v>972</v>
      </c>
      <c r="F321" s="601" t="s">
        <v>551</v>
      </c>
      <c r="G321" s="601" t="s">
        <v>23</v>
      </c>
      <c r="H321" s="601" t="s">
        <v>23</v>
      </c>
      <c r="I321" s="601" t="s">
        <v>23</v>
      </c>
      <c r="J321" s="601">
        <v>15700</v>
      </c>
      <c r="K321" s="601">
        <v>75400</v>
      </c>
      <c r="L321" s="601" t="s">
        <v>23</v>
      </c>
    </row>
    <row r="322" spans="1:12" hidden="1">
      <c r="A322" s="601" t="s">
        <v>1061</v>
      </c>
      <c r="B322" s="601" t="str">
        <f t="shared" si="4"/>
        <v xml:space="preserve">LEVI </v>
      </c>
      <c r="C322" s="601" t="str">
        <f>MID(Table3[[#This Row],[Statement Code]],FIND("- ",Table3[[#This Row],[Statement Code]])+2,100)</f>
        <v>IMPAIRMENT- OTHER INTANGIBLES</v>
      </c>
      <c r="D322" s="602" t="s">
        <v>1062</v>
      </c>
      <c r="E322" s="601" t="s">
        <v>972</v>
      </c>
      <c r="F322" s="601" t="s">
        <v>551</v>
      </c>
      <c r="G322" s="601" t="s">
        <v>23</v>
      </c>
      <c r="H322" s="601" t="s">
        <v>23</v>
      </c>
      <c r="I322" s="601" t="s">
        <v>23</v>
      </c>
      <c r="J322" s="601" t="s">
        <v>23</v>
      </c>
      <c r="K322" s="601">
        <v>14800</v>
      </c>
      <c r="L322" s="601" t="s">
        <v>23</v>
      </c>
    </row>
    <row r="323" spans="1:12">
      <c r="A323" s="601" t="s">
        <v>1063</v>
      </c>
      <c r="B323" s="601" t="str">
        <f t="shared" ref="B323:B386" si="5">LEFT(A323,FIND(" ",A323))</f>
        <v xml:space="preserve">LEVI </v>
      </c>
      <c r="C323" s="601" t="str">
        <f>MID(Table3[[#This Row],[Statement Code]],FIND("- ",Table3[[#This Row],[Statement Code]])+2,100)</f>
        <v>INCOME TAXES</v>
      </c>
      <c r="D323" s="602" t="s">
        <v>1064</v>
      </c>
      <c r="E323" s="601" t="s">
        <v>972</v>
      </c>
      <c r="F323" s="601" t="s">
        <v>551</v>
      </c>
      <c r="G323" s="601">
        <v>82604</v>
      </c>
      <c r="H323" s="601">
        <v>-62642</v>
      </c>
      <c r="I323" s="601">
        <v>26699</v>
      </c>
      <c r="J323" s="601">
        <v>80500</v>
      </c>
      <c r="K323" s="601">
        <v>15600</v>
      </c>
      <c r="L323" s="601" t="s">
        <v>23</v>
      </c>
    </row>
    <row r="324" spans="1:12" hidden="1">
      <c r="A324" s="601" t="s">
        <v>1065</v>
      </c>
      <c r="B324" s="601" t="str">
        <f t="shared" si="5"/>
        <v xml:space="preserve">LEVI </v>
      </c>
      <c r="C324" s="601" t="str">
        <f>MID(Table3[[#This Row],[Statement Code]],FIND("- ",Table3[[#This Row],[Statement Code]])+2,100)</f>
        <v>INCREASE/DECREASE IN CASH/SHOR</v>
      </c>
      <c r="D324" s="602" t="s">
        <v>1066</v>
      </c>
      <c r="E324" s="601" t="s">
        <v>972</v>
      </c>
      <c r="F324" s="601" t="s">
        <v>551</v>
      </c>
      <c r="G324" s="601">
        <v>221055</v>
      </c>
      <c r="H324" s="601">
        <v>562895</v>
      </c>
      <c r="I324" s="601">
        <v>-687068</v>
      </c>
      <c r="J324" s="601">
        <v>-380600</v>
      </c>
      <c r="K324" s="601">
        <v>-30900</v>
      </c>
      <c r="L324" s="601" t="s">
        <v>23</v>
      </c>
    </row>
    <row r="325" spans="1:12">
      <c r="A325" s="601" t="s">
        <v>1067</v>
      </c>
      <c r="B325" s="601" t="str">
        <f t="shared" si="5"/>
        <v xml:space="preserve">LEVI </v>
      </c>
      <c r="C325" s="601" t="str">
        <f>MID(Table3[[#This Row],[Statement Code]],FIND("- ",Table3[[#This Row],[Statement Code]])+2,100)</f>
        <v>INTEREST EXPENSE ON DEBT</v>
      </c>
      <c r="D325" s="602" t="s">
        <v>1068</v>
      </c>
      <c r="E325" s="601" t="s">
        <v>972</v>
      </c>
      <c r="F325" s="601" t="s">
        <v>551</v>
      </c>
      <c r="G325" s="601">
        <v>66248</v>
      </c>
      <c r="H325" s="601">
        <v>82190</v>
      </c>
      <c r="I325" s="601">
        <v>72902</v>
      </c>
      <c r="J325" s="601">
        <v>25700</v>
      </c>
      <c r="K325" s="601">
        <v>45900</v>
      </c>
      <c r="L325" s="601" t="s">
        <v>23</v>
      </c>
    </row>
    <row r="326" spans="1:12" hidden="1">
      <c r="A326" s="601" t="s">
        <v>1069</v>
      </c>
      <c r="B326" s="601" t="str">
        <f t="shared" si="5"/>
        <v xml:space="preserve">LEVI </v>
      </c>
      <c r="C326" s="601" t="str">
        <f>MID(Table3[[#This Row],[Statement Code]],FIND("- ",Table3[[#This Row],[Statement Code]])+2,100)</f>
        <v>TOTAL INVENTORIES</v>
      </c>
      <c r="D326" s="602" t="s">
        <v>1070</v>
      </c>
      <c r="E326" s="601" t="s">
        <v>972</v>
      </c>
      <c r="F326" s="601" t="s">
        <v>551</v>
      </c>
      <c r="G326" s="601">
        <v>884192</v>
      </c>
      <c r="H326" s="601">
        <v>817692</v>
      </c>
      <c r="I326" s="601">
        <v>897950</v>
      </c>
      <c r="J326" s="601">
        <v>1416800</v>
      </c>
      <c r="K326" s="601">
        <v>1290100</v>
      </c>
      <c r="L326" s="601" t="s">
        <v>23</v>
      </c>
    </row>
    <row r="327" spans="1:12">
      <c r="A327" s="601" t="s">
        <v>1071</v>
      </c>
      <c r="B327" s="601" t="str">
        <f t="shared" si="5"/>
        <v xml:space="preserve">LEVI </v>
      </c>
      <c r="C327" s="601" t="str">
        <f>MID(Table3[[#This Row],[Statement Code]],FIND("- ",Table3[[#This Row],[Statement Code]])+2,100)</f>
        <v>LONG TERM DEBT</v>
      </c>
      <c r="D327" s="602" t="s">
        <v>1072</v>
      </c>
      <c r="E327" s="601" t="s">
        <v>972</v>
      </c>
      <c r="F327" s="601" t="s">
        <v>551</v>
      </c>
      <c r="G327" s="601">
        <v>1006745</v>
      </c>
      <c r="H327" s="601">
        <v>1546700</v>
      </c>
      <c r="I327" s="601">
        <v>1020700</v>
      </c>
      <c r="J327" s="601">
        <v>984500</v>
      </c>
      <c r="K327" s="601">
        <v>1009400</v>
      </c>
      <c r="L327" s="601" t="s">
        <v>23</v>
      </c>
    </row>
    <row r="328" spans="1:12" hidden="1">
      <c r="A328" s="601" t="s">
        <v>1073</v>
      </c>
      <c r="B328" s="601" t="str">
        <f t="shared" si="5"/>
        <v xml:space="preserve">LEVI </v>
      </c>
      <c r="C328" s="601" t="str">
        <f>MID(Table3[[#This Row],[Statement Code]],FIND("- ",Table3[[#This Row],[Statement Code]])+2,100)</f>
        <v>MARKET CAPITALIZATION</v>
      </c>
      <c r="D328" s="602" t="s">
        <v>1074</v>
      </c>
      <c r="E328" s="601" t="s">
        <v>972</v>
      </c>
      <c r="F328" s="601" t="s">
        <v>551</v>
      </c>
      <c r="G328" s="601">
        <v>7595514</v>
      </c>
      <c r="H328" s="601">
        <v>7989835</v>
      </c>
      <c r="I328" s="601">
        <v>10006429</v>
      </c>
      <c r="J328" s="601">
        <v>6110717</v>
      </c>
      <c r="K328" s="601">
        <v>6572136</v>
      </c>
      <c r="L328" s="601" t="s">
        <v>23</v>
      </c>
    </row>
    <row r="329" spans="1:12" hidden="1">
      <c r="A329" s="601" t="s">
        <v>1075</v>
      </c>
      <c r="B329" s="601" t="str">
        <f t="shared" si="5"/>
        <v xml:space="preserve">LEVI </v>
      </c>
      <c r="C329" s="601" t="str">
        <f>MID(Table3[[#This Row],[Statement Code]],FIND("- ",Table3[[#This Row],[Statement Code]])+2,100)</f>
        <v>NET CASH FLOW - FINANCING</v>
      </c>
      <c r="D329" s="602" t="s">
        <v>1076</v>
      </c>
      <c r="E329" s="601" t="s">
        <v>972</v>
      </c>
      <c r="F329" s="601" t="s">
        <v>551</v>
      </c>
      <c r="G329" s="601">
        <v>55018</v>
      </c>
      <c r="H329" s="601">
        <v>285995</v>
      </c>
      <c r="I329" s="601">
        <v>-840888</v>
      </c>
      <c r="J329" s="601">
        <v>-365400</v>
      </c>
      <c r="K329" s="601">
        <v>-214100</v>
      </c>
      <c r="L329" s="601" t="s">
        <v>23</v>
      </c>
    </row>
    <row r="330" spans="1:12" hidden="1">
      <c r="A330" s="601" t="s">
        <v>1077</v>
      </c>
      <c r="B330" s="601" t="str">
        <f t="shared" si="5"/>
        <v xml:space="preserve">LEVI </v>
      </c>
      <c r="C330" s="601" t="str">
        <f>MID(Table3[[#This Row],[Statement Code]],FIND("- ",Table3[[#This Row],[Statement Code]])+2,100)</f>
        <v>NET CASH FLOW - INVESTING</v>
      </c>
      <c r="D330" s="602" t="s">
        <v>1078</v>
      </c>
      <c r="E330" s="601" t="s">
        <v>972</v>
      </c>
      <c r="F330" s="601" t="s">
        <v>551</v>
      </c>
      <c r="G330" s="601">
        <v>243343</v>
      </c>
      <c r="H330" s="601">
        <v>188559</v>
      </c>
      <c r="I330" s="601">
        <v>571810</v>
      </c>
      <c r="J330" s="601">
        <v>235700</v>
      </c>
      <c r="K330" s="601">
        <v>240700</v>
      </c>
      <c r="L330" s="601" t="s">
        <v>23</v>
      </c>
    </row>
    <row r="331" spans="1:12" hidden="1">
      <c r="A331" s="601" t="s">
        <v>1079</v>
      </c>
      <c r="B331" s="601" t="str">
        <f t="shared" si="5"/>
        <v xml:space="preserve">LEVI </v>
      </c>
      <c r="C331" s="601" t="str">
        <f>MID(Table3[[#This Row],[Statement Code]],FIND("- ",Table3[[#This Row],[Statement Code]])+2,100)</f>
        <v>NET CASH FLOW-OPERATING ACTIVS</v>
      </c>
      <c r="D331" s="602" t="s">
        <v>1080</v>
      </c>
      <c r="E331" s="601" t="s">
        <v>972</v>
      </c>
      <c r="F331" s="601" t="s">
        <v>551</v>
      </c>
      <c r="G331" s="601">
        <v>412188</v>
      </c>
      <c r="H331" s="601">
        <v>469586</v>
      </c>
      <c r="I331" s="601">
        <v>737264</v>
      </c>
      <c r="J331" s="601">
        <v>228100</v>
      </c>
      <c r="K331" s="601">
        <v>435500</v>
      </c>
      <c r="L331" s="601" t="s">
        <v>23</v>
      </c>
    </row>
    <row r="332" spans="1:12" hidden="1">
      <c r="A332" s="601" t="s">
        <v>1081</v>
      </c>
      <c r="B332" s="601" t="str">
        <f t="shared" si="5"/>
        <v xml:space="preserve">LEVI </v>
      </c>
      <c r="C332" s="601" t="str">
        <f>MID(Table3[[#This Row],[Statement Code]],FIND("- ",Table3[[#This Row],[Statement Code]])+2,100)</f>
        <v>NET DEBT</v>
      </c>
      <c r="D332" s="602" t="s">
        <v>1082</v>
      </c>
      <c r="E332" s="601" t="s">
        <v>972</v>
      </c>
      <c r="F332" s="601" t="s">
        <v>551</v>
      </c>
      <c r="G332" s="601">
        <v>-612</v>
      </c>
      <c r="H332" s="601">
        <v>-29355</v>
      </c>
      <c r="I332" s="601">
        <v>124746</v>
      </c>
      <c r="J332" s="601">
        <v>496000</v>
      </c>
      <c r="K332" s="601">
        <v>623100</v>
      </c>
      <c r="L332" s="601" t="s">
        <v>23</v>
      </c>
    </row>
    <row r="333" spans="1:12">
      <c r="A333" s="601" t="s">
        <v>1083</v>
      </c>
      <c r="B333" s="601" t="str">
        <f t="shared" si="5"/>
        <v xml:space="preserve">LEVI </v>
      </c>
      <c r="C333" s="601" t="str">
        <f>MID(Table3[[#This Row],[Statement Code]],FIND("- ",Table3[[#This Row],[Statement Code]])+2,100)</f>
        <v>NET INCOME - DILUTED</v>
      </c>
      <c r="D333" s="602" t="s">
        <v>1084</v>
      </c>
      <c r="E333" s="601" t="s">
        <v>972</v>
      </c>
      <c r="F333" s="601" t="s">
        <v>551</v>
      </c>
      <c r="G333" s="601">
        <v>394612</v>
      </c>
      <c r="H333" s="601">
        <v>-127141</v>
      </c>
      <c r="I333" s="601">
        <v>553541</v>
      </c>
      <c r="J333" s="601">
        <v>569100</v>
      </c>
      <c r="K333" s="601">
        <v>249600</v>
      </c>
      <c r="L333" s="601" t="s">
        <v>23</v>
      </c>
    </row>
    <row r="334" spans="1:12">
      <c r="A334" s="601" t="s">
        <v>1085</v>
      </c>
      <c r="B334" s="601" t="str">
        <f t="shared" si="5"/>
        <v xml:space="preserve">LEVI </v>
      </c>
      <c r="C334" s="601" t="str">
        <f>MID(Table3[[#This Row],[Statement Code]],FIND("- ",Table3[[#This Row],[Statement Code]])+2,100)</f>
        <v>NET SALES OR REVENUES</v>
      </c>
      <c r="D334" s="602" t="s">
        <v>1086</v>
      </c>
      <c r="E334" s="601" t="s">
        <v>972</v>
      </c>
      <c r="F334" s="601" t="s">
        <v>551</v>
      </c>
      <c r="G334" s="601">
        <v>5763087</v>
      </c>
      <c r="H334" s="601">
        <v>4452609</v>
      </c>
      <c r="I334" s="601">
        <v>5763936</v>
      </c>
      <c r="J334" s="601">
        <v>6168600</v>
      </c>
      <c r="K334" s="601">
        <v>6179000</v>
      </c>
      <c r="L334" s="601" t="s">
        <v>23</v>
      </c>
    </row>
    <row r="335" spans="1:12" hidden="1">
      <c r="A335" s="601" t="s">
        <v>1087</v>
      </c>
      <c r="B335" s="601" t="str">
        <f t="shared" si="5"/>
        <v xml:space="preserve">LEVI </v>
      </c>
      <c r="C335" s="601" t="str">
        <f>MID(Table3[[#This Row],[Statement Code]],FIND("- ",Table3[[#This Row],[Statement Code]])+2,100)</f>
        <v>NON-OPERATING INTEREST INCOME</v>
      </c>
      <c r="D335" s="602" t="s">
        <v>1088</v>
      </c>
      <c r="E335" s="601" t="s">
        <v>972</v>
      </c>
      <c r="F335" s="601" t="s">
        <v>551</v>
      </c>
      <c r="G335" s="601">
        <v>17190</v>
      </c>
      <c r="H335" s="601">
        <v>8390</v>
      </c>
      <c r="I335" s="601">
        <v>2542</v>
      </c>
      <c r="J335" s="601" t="s">
        <v>23</v>
      </c>
      <c r="K335" s="601" t="s">
        <v>23</v>
      </c>
      <c r="L335" s="601" t="s">
        <v>23</v>
      </c>
    </row>
    <row r="336" spans="1:12" hidden="1">
      <c r="A336" s="601" t="s">
        <v>1089</v>
      </c>
      <c r="B336" s="601" t="str">
        <f t="shared" si="5"/>
        <v xml:space="preserve">LEVI </v>
      </c>
      <c r="C336" s="601" t="str">
        <f>MID(Table3[[#This Row],[Statement Code]],FIND("- ",Table3[[#This Row],[Statement Code]])+2,100)</f>
        <v>OPERATING EXPENSES - TOTAL</v>
      </c>
      <c r="D336" s="602" t="s">
        <v>1090</v>
      </c>
      <c r="E336" s="601" t="s">
        <v>972</v>
      </c>
      <c r="F336" s="601" t="s">
        <v>551</v>
      </c>
      <c r="G336" s="601">
        <v>5202712</v>
      </c>
      <c r="H336" s="601">
        <v>4354513</v>
      </c>
      <c r="I336" s="601">
        <v>5047838</v>
      </c>
      <c r="J336" s="601">
        <v>5436600</v>
      </c>
      <c r="K336" s="601">
        <v>5687600</v>
      </c>
      <c r="L336" s="601" t="s">
        <v>23</v>
      </c>
    </row>
    <row r="337" spans="1:12">
      <c r="A337" s="601" t="s">
        <v>1091</v>
      </c>
      <c r="B337" s="601" t="str">
        <f t="shared" si="5"/>
        <v xml:space="preserve">LEVI </v>
      </c>
      <c r="C337" s="601" t="str">
        <f>MID(Table3[[#This Row],[Statement Code]],FIND("- ",Table3[[#This Row],[Statement Code]])+2,100)</f>
        <v>OPERATING INCOME</v>
      </c>
      <c r="D337" s="602" t="s">
        <v>1092</v>
      </c>
      <c r="E337" s="601" t="s">
        <v>972</v>
      </c>
      <c r="F337" s="601" t="s">
        <v>551</v>
      </c>
      <c r="G337" s="601">
        <v>560375</v>
      </c>
      <c r="H337" s="601">
        <v>98096</v>
      </c>
      <c r="I337" s="601">
        <v>716098</v>
      </c>
      <c r="J337" s="601">
        <v>732000</v>
      </c>
      <c r="K337" s="601">
        <v>491400</v>
      </c>
      <c r="L337" s="601" t="s">
        <v>23</v>
      </c>
    </row>
    <row r="338" spans="1:12" hidden="1">
      <c r="A338" s="601" t="s">
        <v>1093</v>
      </c>
      <c r="B338" s="601" t="str">
        <f t="shared" si="5"/>
        <v xml:space="preserve">LEVI </v>
      </c>
      <c r="C338" s="601" t="str">
        <f>MID(Table3[[#This Row],[Statement Code]],FIND("- ",Table3[[#This Row],[Statement Code]])+2,100)</f>
        <v>PRETAX INCOME</v>
      </c>
      <c r="D338" s="602" t="s">
        <v>1094</v>
      </c>
      <c r="E338" s="601" t="s">
        <v>972</v>
      </c>
      <c r="F338" s="601" t="s">
        <v>551</v>
      </c>
      <c r="G338" s="601">
        <v>477584</v>
      </c>
      <c r="H338" s="601">
        <v>-189783</v>
      </c>
      <c r="I338" s="601">
        <v>580240</v>
      </c>
      <c r="J338" s="601">
        <v>649600</v>
      </c>
      <c r="K338" s="601">
        <v>265200</v>
      </c>
      <c r="L338" s="601" t="s">
        <v>23</v>
      </c>
    </row>
    <row r="339" spans="1:12" hidden="1">
      <c r="A339" s="601" t="s">
        <v>1095</v>
      </c>
      <c r="B339" s="601" t="str">
        <f t="shared" si="5"/>
        <v xml:space="preserve">LEVI </v>
      </c>
      <c r="C339" s="601" t="str">
        <f>MID(Table3[[#This Row],[Statement Code]],FIND("- ",Table3[[#This Row],[Statement Code]])+2,100)</f>
        <v>PROPERTY, PLANT &amp; EQUIP - NET</v>
      </c>
      <c r="D339" s="602" t="s">
        <v>1096</v>
      </c>
      <c r="E339" s="601" t="s">
        <v>972</v>
      </c>
      <c r="F339" s="601" t="s">
        <v>551</v>
      </c>
      <c r="G339" s="601">
        <v>529558</v>
      </c>
      <c r="H339" s="601">
        <v>1443333</v>
      </c>
      <c r="I339" s="601">
        <v>1606267</v>
      </c>
      <c r="J339" s="601">
        <v>1592800</v>
      </c>
      <c r="K339" s="601">
        <v>1714600</v>
      </c>
      <c r="L339" s="601" t="s">
        <v>23</v>
      </c>
    </row>
    <row r="340" spans="1:12" hidden="1">
      <c r="A340" s="601" t="s">
        <v>1097</v>
      </c>
      <c r="B340" s="601" t="str">
        <f t="shared" si="5"/>
        <v xml:space="preserve">LEVI </v>
      </c>
      <c r="C340" s="601" t="str">
        <f>MID(Table3[[#This Row],[Statement Code]],FIND("- ",Table3[[#This Row],[Statement Code]])+2,100)</f>
        <v>RECEIVABLES(NET)</v>
      </c>
      <c r="D340" s="602" t="s">
        <v>1098</v>
      </c>
      <c r="E340" s="601" t="s">
        <v>972</v>
      </c>
      <c r="F340" s="601" t="s">
        <v>551</v>
      </c>
      <c r="G340" s="601">
        <v>782846</v>
      </c>
      <c r="H340" s="601">
        <v>540227</v>
      </c>
      <c r="I340" s="601">
        <v>707625</v>
      </c>
      <c r="J340" s="601">
        <v>697000</v>
      </c>
      <c r="K340" s="601">
        <v>752700</v>
      </c>
      <c r="L340" s="601" t="s">
        <v>23</v>
      </c>
    </row>
    <row r="341" spans="1:12">
      <c r="A341" s="601" t="s">
        <v>1099</v>
      </c>
      <c r="B341" s="601" t="str">
        <f t="shared" si="5"/>
        <v xml:space="preserve">LEVI </v>
      </c>
      <c r="C341" s="601" t="str">
        <f>MID(Table3[[#This Row],[Statement Code]],FIND("- ",Table3[[#This Row],[Statement Code]])+2,100)</f>
        <v>SELLING, GENERAL &amp; ADMINISTRAT</v>
      </c>
      <c r="D341" s="602" t="s">
        <v>1100</v>
      </c>
      <c r="E341" s="601" t="s">
        <v>972</v>
      </c>
      <c r="F341" s="601" t="s">
        <v>551</v>
      </c>
      <c r="G341" s="601">
        <v>2540998</v>
      </c>
      <c r="H341" s="601">
        <v>2254828</v>
      </c>
      <c r="I341" s="601">
        <v>2630613</v>
      </c>
      <c r="J341" s="601">
        <v>2816800</v>
      </c>
      <c r="K341" s="601">
        <v>3024300</v>
      </c>
      <c r="L341" s="601" t="s">
        <v>23</v>
      </c>
    </row>
    <row r="342" spans="1:12" hidden="1">
      <c r="A342" s="601" t="s">
        <v>1101</v>
      </c>
      <c r="B342" s="601" t="str">
        <f t="shared" si="5"/>
        <v xml:space="preserve">LEVI </v>
      </c>
      <c r="C342" s="601" t="str">
        <f>MID(Table3[[#This Row],[Statement Code]],FIND("- ",Table3[[#This Row],[Statement Code]])+2,100)</f>
        <v>SHORT TERM DEBT &amp; CURRENT PORT</v>
      </c>
      <c r="D342" s="602" t="s">
        <v>1102</v>
      </c>
      <c r="E342" s="601" t="s">
        <v>972</v>
      </c>
      <c r="F342" s="601" t="s">
        <v>551</v>
      </c>
      <c r="G342" s="601">
        <v>7621</v>
      </c>
      <c r="H342" s="601">
        <v>17631</v>
      </c>
      <c r="I342" s="601">
        <v>5862</v>
      </c>
      <c r="J342" s="601">
        <v>11700</v>
      </c>
      <c r="K342" s="601">
        <v>12500</v>
      </c>
      <c r="L342" s="601" t="s">
        <v>23</v>
      </c>
    </row>
    <row r="343" spans="1:12">
      <c r="A343" s="601" t="s">
        <v>1103</v>
      </c>
      <c r="B343" s="601" t="str">
        <f t="shared" si="5"/>
        <v xml:space="preserve">LEVI </v>
      </c>
      <c r="C343" s="601" t="str">
        <f>MID(Table3[[#This Row],[Statement Code]],FIND("- ",Table3[[#This Row],[Statement Code]])+2,100)</f>
        <v>TOTAL ASSETS</v>
      </c>
      <c r="D343" s="602" t="s">
        <v>1104</v>
      </c>
      <c r="E343" s="601" t="s">
        <v>972</v>
      </c>
      <c r="F343" s="601" t="s">
        <v>551</v>
      </c>
      <c r="G343" s="601">
        <v>3824513</v>
      </c>
      <c r="H343" s="601">
        <v>5143685</v>
      </c>
      <c r="I343" s="601">
        <v>5326955</v>
      </c>
      <c r="J343" s="601">
        <v>5412800</v>
      </c>
      <c r="K343" s="601">
        <v>5324100</v>
      </c>
      <c r="L343" s="601" t="s">
        <v>23</v>
      </c>
    </row>
    <row r="344" spans="1:12" hidden="1">
      <c r="A344" s="601" t="s">
        <v>1105</v>
      </c>
      <c r="B344" s="601" t="str">
        <f t="shared" si="5"/>
        <v xml:space="preserve">LEVI </v>
      </c>
      <c r="C344" s="601" t="str">
        <f>MID(Table3[[#This Row],[Statement Code]],FIND("- ",Table3[[#This Row],[Statement Code]])+2,100)</f>
        <v>TOTAL CAPITAL</v>
      </c>
      <c r="D344" s="602" t="s">
        <v>1106</v>
      </c>
      <c r="E344" s="601" t="s">
        <v>972</v>
      </c>
      <c r="F344" s="601" t="s">
        <v>551</v>
      </c>
      <c r="G344" s="601">
        <v>2578302</v>
      </c>
      <c r="H344" s="601">
        <v>2846175</v>
      </c>
      <c r="I344" s="601">
        <v>2686361</v>
      </c>
      <c r="J344" s="601">
        <v>2888200</v>
      </c>
      <c r="K344" s="601">
        <v>3055800</v>
      </c>
      <c r="L344" s="601" t="s">
        <v>23</v>
      </c>
    </row>
    <row r="345" spans="1:12">
      <c r="A345" s="601" t="s">
        <v>1107</v>
      </c>
      <c r="B345" s="601" t="str">
        <f t="shared" si="5"/>
        <v xml:space="preserve">LEVI </v>
      </c>
      <c r="C345" s="601" t="str">
        <f>MID(Table3[[#This Row],[Statement Code]],FIND("- ",Table3[[#This Row],[Statement Code]])+2,100)</f>
        <v>TOTAL DEBT</v>
      </c>
      <c r="D345" s="602" t="s">
        <v>1108</v>
      </c>
      <c r="E345" s="601" t="s">
        <v>972</v>
      </c>
      <c r="F345" s="601" t="s">
        <v>551</v>
      </c>
      <c r="G345" s="601">
        <v>1014366</v>
      </c>
      <c r="H345" s="601">
        <v>1564331</v>
      </c>
      <c r="I345" s="601">
        <v>1026562</v>
      </c>
      <c r="J345" s="601">
        <v>996200</v>
      </c>
      <c r="K345" s="601">
        <v>1021900</v>
      </c>
      <c r="L345" s="601" t="s">
        <v>23</v>
      </c>
    </row>
    <row r="346" spans="1:12" hidden="1">
      <c r="A346" s="601" t="s">
        <v>1109</v>
      </c>
      <c r="B346" s="601" t="str">
        <f t="shared" si="5"/>
        <v xml:space="preserve">LEVI </v>
      </c>
      <c r="C346" s="601" t="str">
        <f>MID(Table3[[#This Row],[Statement Code]],FIND("- ",Table3[[#This Row],[Statement Code]])+2,100)</f>
        <v>TOTAL INTANGIBLE OT ASSETS-NET</v>
      </c>
      <c r="D346" s="602" t="s">
        <v>1110</v>
      </c>
      <c r="E346" s="601" t="s">
        <v>972</v>
      </c>
      <c r="F346" s="601" t="s">
        <v>551</v>
      </c>
      <c r="G346" s="601">
        <v>278570</v>
      </c>
      <c r="H346" s="601">
        <v>312194</v>
      </c>
      <c r="I346" s="601">
        <v>678212</v>
      </c>
      <c r="J346" s="601">
        <v>652400</v>
      </c>
      <c r="K346" s="601">
        <v>571300</v>
      </c>
      <c r="L346" s="601" t="s">
        <v>23</v>
      </c>
    </row>
    <row r="347" spans="1:12">
      <c r="A347" s="601" t="s">
        <v>1111</v>
      </c>
      <c r="B347" s="601" t="str">
        <f t="shared" si="5"/>
        <v xml:space="preserve">LEVI </v>
      </c>
      <c r="C347" s="601" t="str">
        <f>MID(Table3[[#This Row],[Statement Code]],FIND("- ",Table3[[#This Row],[Statement Code]])+2,100)</f>
        <v>TOTAL LIABILITIES</v>
      </c>
      <c r="D347" s="602" t="s">
        <v>1112</v>
      </c>
      <c r="E347" s="601" t="s">
        <v>972</v>
      </c>
      <c r="F347" s="601" t="s">
        <v>551</v>
      </c>
      <c r="G347" s="601">
        <v>2252956</v>
      </c>
      <c r="H347" s="601">
        <v>3844210</v>
      </c>
      <c r="I347" s="601">
        <v>3661294</v>
      </c>
      <c r="J347" s="601">
        <v>3509100</v>
      </c>
      <c r="K347" s="601">
        <v>3277700</v>
      </c>
      <c r="L347" s="601" t="s">
        <v>23</v>
      </c>
    </row>
    <row r="348" spans="1:12" hidden="1">
      <c r="A348" s="601" t="s">
        <v>1113</v>
      </c>
      <c r="B348" s="601" t="str">
        <f t="shared" si="5"/>
        <v xml:space="preserve">LEVI </v>
      </c>
      <c r="C348" s="601" t="str">
        <f>MID(Table3[[#This Row],[Statement Code]],FIND("- ",Table3[[#This Row],[Statement Code]])+2,100)</f>
        <v>TOTAL LIABILITIES &amp; SHAREHOLDE</v>
      </c>
      <c r="D348" s="602" t="s">
        <v>1114</v>
      </c>
      <c r="E348" s="601" t="s">
        <v>972</v>
      </c>
      <c r="F348" s="601" t="s">
        <v>551</v>
      </c>
      <c r="G348" s="601">
        <v>3824513</v>
      </c>
      <c r="H348" s="601">
        <v>5143685</v>
      </c>
      <c r="I348" s="601">
        <v>5326955</v>
      </c>
      <c r="J348" s="601">
        <v>5412800</v>
      </c>
      <c r="K348" s="601">
        <v>5324100</v>
      </c>
      <c r="L348" s="601" t="s">
        <v>23</v>
      </c>
    </row>
    <row r="349" spans="1:12" hidden="1">
      <c r="A349" s="601" t="s">
        <v>1115</v>
      </c>
      <c r="B349" s="601" t="str">
        <f t="shared" si="5"/>
        <v xml:space="preserve">LEVI </v>
      </c>
      <c r="C349" s="601" t="str">
        <f>MID(Table3[[#This Row],[Statement Code]],FIND("- ",Table3[[#This Row],[Statement Code]])+2,100)</f>
        <v>TOTAL SHAREHOLDERS EQUITY</v>
      </c>
      <c r="D349" s="602" t="s">
        <v>1116</v>
      </c>
      <c r="E349" s="601" t="s">
        <v>972</v>
      </c>
      <c r="F349" s="601" t="s">
        <v>551</v>
      </c>
      <c r="G349" s="601">
        <v>1563531</v>
      </c>
      <c r="H349" s="601">
        <v>1299475</v>
      </c>
      <c r="I349" s="601">
        <v>1665661</v>
      </c>
      <c r="J349" s="601">
        <v>1903700</v>
      </c>
      <c r="K349" s="601">
        <v>2046400</v>
      </c>
      <c r="L349" s="601" t="s">
        <v>23</v>
      </c>
    </row>
    <row r="350" spans="1:12" hidden="1">
      <c r="A350" s="601" t="s">
        <v>1117</v>
      </c>
      <c r="B350" s="601" t="str">
        <f t="shared" si="5"/>
        <v xml:space="preserve">LEVI </v>
      </c>
      <c r="C350" s="601" t="str">
        <f>MID(Table3[[#This Row],[Statement Code]],FIND("- ",Table3[[#This Row],[Statement Code]])+2,100)</f>
        <v>WORKING CAPITAL</v>
      </c>
      <c r="D350" s="602" t="s">
        <v>1118</v>
      </c>
      <c r="E350" s="601" t="s">
        <v>972</v>
      </c>
      <c r="F350" s="601" t="s">
        <v>551</v>
      </c>
      <c r="G350" s="601">
        <v>1702982</v>
      </c>
      <c r="H350" s="601">
        <v>1577359</v>
      </c>
      <c r="I350" s="601">
        <v>840283</v>
      </c>
      <c r="J350" s="601">
        <v>846300</v>
      </c>
      <c r="K350" s="601">
        <v>850100</v>
      </c>
      <c r="L350" s="601" t="s">
        <v>23</v>
      </c>
    </row>
    <row r="351" spans="1:12" hidden="1">
      <c r="A351" s="601" t="s">
        <v>1119</v>
      </c>
      <c r="B351" s="601" t="str">
        <f t="shared" si="5"/>
        <v xml:space="preserve">LEVI </v>
      </c>
      <c r="C351" s="601" t="str">
        <f>MID(Table3[[#This Row],[Statement Code]],FIND("- ",Table3[[#This Row],[Statement Code]])+2,100)</f>
        <v>BK VAL PS 12M FWD</v>
      </c>
      <c r="D351" s="602" t="s">
        <v>1120</v>
      </c>
      <c r="E351" s="601" t="s">
        <v>972</v>
      </c>
      <c r="F351" s="601" t="s">
        <v>551</v>
      </c>
      <c r="G351" s="601">
        <v>3.49</v>
      </c>
      <c r="H351" s="601">
        <v>3.39</v>
      </c>
      <c r="I351" s="601">
        <v>4.97</v>
      </c>
      <c r="J351" s="601">
        <v>5.6</v>
      </c>
      <c r="K351" s="601">
        <v>5.72</v>
      </c>
      <c r="L351" s="601">
        <v>6.04</v>
      </c>
    </row>
    <row r="352" spans="1:12" hidden="1">
      <c r="A352" s="601" t="s">
        <v>1121</v>
      </c>
      <c r="B352" s="601" t="str">
        <f t="shared" si="5"/>
        <v xml:space="preserve">LEVI </v>
      </c>
      <c r="C352" s="601" t="str">
        <f>MID(Table3[[#This Row],[Statement Code]],FIND("- ",Table3[[#This Row],[Statement Code]])+2,100)</f>
        <v>EV 12M FWD</v>
      </c>
      <c r="D352" s="602" t="s">
        <v>1122</v>
      </c>
      <c r="E352" s="601" t="s">
        <v>972</v>
      </c>
      <c r="F352" s="601" t="s">
        <v>551</v>
      </c>
      <c r="G352" s="601">
        <v>7249621</v>
      </c>
      <c r="H352" s="601">
        <v>5571664</v>
      </c>
      <c r="I352" s="601">
        <v>11243820</v>
      </c>
      <c r="J352" s="601">
        <v>7898320</v>
      </c>
      <c r="K352" s="601">
        <v>5442617</v>
      </c>
      <c r="L352" s="601">
        <v>8451000</v>
      </c>
    </row>
    <row r="353" spans="1:12" hidden="1">
      <c r="A353" s="601" t="s">
        <v>1123</v>
      </c>
      <c r="B353" s="601" t="str">
        <f t="shared" si="5"/>
        <v xml:space="preserve">LEVI </v>
      </c>
      <c r="C353" s="601" t="str">
        <f>MID(Table3[[#This Row],[Statement Code]],FIND("- ",Table3[[#This Row],[Statement Code]])+2,100)</f>
        <v>NET INCOME 12M FWD</v>
      </c>
      <c r="D353" s="602" t="s">
        <v>1124</v>
      </c>
      <c r="E353" s="601" t="s">
        <v>972</v>
      </c>
      <c r="F353" s="601" t="s">
        <v>551</v>
      </c>
      <c r="G353" s="601">
        <v>475182.4</v>
      </c>
      <c r="H353" s="601">
        <v>262131.6</v>
      </c>
      <c r="I353" s="601">
        <v>604976.6</v>
      </c>
      <c r="J353" s="601">
        <v>643835.19999999995</v>
      </c>
      <c r="K353" s="601">
        <v>524218.5</v>
      </c>
      <c r="L353" s="601">
        <v>553784.19999999995</v>
      </c>
    </row>
    <row r="354" spans="1:12" hidden="1">
      <c r="A354" s="601" t="s">
        <v>1125</v>
      </c>
      <c r="B354" s="601" t="str">
        <f t="shared" si="5"/>
        <v xml:space="preserve">LEVI </v>
      </c>
      <c r="C354" s="601" t="str">
        <f>MID(Table3[[#This Row],[Statement Code]],FIND("- ",Table3[[#This Row],[Statement Code]])+2,100)</f>
        <v>PRETAX PRF 12M FWD</v>
      </c>
      <c r="D354" s="602" t="s">
        <v>1126</v>
      </c>
      <c r="E354" s="601" t="s">
        <v>972</v>
      </c>
      <c r="F354" s="601" t="s">
        <v>551</v>
      </c>
      <c r="G354" s="601">
        <v>614757.6</v>
      </c>
      <c r="H354" s="601">
        <v>318396.79999999999</v>
      </c>
      <c r="I354" s="601">
        <v>722929.9</v>
      </c>
      <c r="J354" s="601">
        <v>793205.1</v>
      </c>
      <c r="K354" s="601">
        <v>617956.80000000005</v>
      </c>
      <c r="L354" s="601">
        <v>657637.9</v>
      </c>
    </row>
    <row r="355" spans="1:12" hidden="1">
      <c r="A355" s="601" t="s">
        <v>1127</v>
      </c>
      <c r="B355" s="601" t="str">
        <f t="shared" si="5"/>
        <v xml:space="preserve">LEVI </v>
      </c>
      <c r="C355" s="601" t="str">
        <f>MID(Table3[[#This Row],[Statement Code]],FIND("- ",Table3[[#This Row],[Statement Code]])+2,100)</f>
        <v>ROE 12M FWD</v>
      </c>
      <c r="D355" s="602" t="s">
        <v>1128</v>
      </c>
      <c r="E355" s="601" t="s">
        <v>972</v>
      </c>
      <c r="F355" s="601" t="s">
        <v>551</v>
      </c>
      <c r="G355" s="601">
        <v>32.96</v>
      </c>
      <c r="H355" s="601">
        <v>19.579999999999998</v>
      </c>
      <c r="I355" s="601">
        <v>32.17</v>
      </c>
      <c r="J355" s="601">
        <v>30.21</v>
      </c>
      <c r="K355" s="601">
        <v>22.92</v>
      </c>
      <c r="L355" s="601">
        <v>23.61</v>
      </c>
    </row>
    <row r="356" spans="1:12" hidden="1">
      <c r="A356" s="601" t="s">
        <v>1129</v>
      </c>
      <c r="B356" s="601" t="str">
        <f t="shared" si="5"/>
        <v xml:space="preserve">LEVI </v>
      </c>
      <c r="C356" s="601" t="str">
        <f>MID(Table3[[#This Row],[Statement Code]],FIND("- ",Table3[[#This Row],[Statement Code]])+2,100)</f>
        <v>SALES 12M FWD</v>
      </c>
      <c r="D356" s="602" t="s">
        <v>1130</v>
      </c>
      <c r="E356" s="601" t="s">
        <v>972</v>
      </c>
      <c r="F356" s="601" t="s">
        <v>551</v>
      </c>
      <c r="G356" s="601">
        <v>6208492</v>
      </c>
      <c r="H356" s="601">
        <v>5102285</v>
      </c>
      <c r="I356" s="601">
        <v>6222973</v>
      </c>
      <c r="J356" s="601">
        <v>6717039</v>
      </c>
      <c r="K356" s="601">
        <v>6551113</v>
      </c>
      <c r="L356" s="601">
        <v>6563863</v>
      </c>
    </row>
    <row r="357" spans="1:12" hidden="1">
      <c r="A357" s="601" t="s">
        <v>1131</v>
      </c>
      <c r="B357" s="601" t="str">
        <f t="shared" si="5"/>
        <v xml:space="preserve">LEVI </v>
      </c>
      <c r="C357" s="601" t="str">
        <f>MID(Table3[[#This Row],[Statement Code]],FIND("- ",Table3[[#This Row],[Statement Code]])+2,100)</f>
        <v>DECREASE/INCREASE RECEIVABLES</v>
      </c>
      <c r="D357" s="602" t="s">
        <v>1132</v>
      </c>
      <c r="E357" s="601" t="s">
        <v>972</v>
      </c>
      <c r="F357" s="601" t="s">
        <v>551</v>
      </c>
      <c r="G357" s="601">
        <v>-82344</v>
      </c>
      <c r="H357" s="601">
        <v>234217</v>
      </c>
      <c r="I357" s="601">
        <v>-181547</v>
      </c>
      <c r="J357" s="601" t="s">
        <v>23</v>
      </c>
      <c r="K357" s="601" t="s">
        <v>23</v>
      </c>
      <c r="L357" s="601" t="s">
        <v>23</v>
      </c>
    </row>
    <row r="358" spans="1:12" hidden="1">
      <c r="A358" s="601" t="s">
        <v>1133</v>
      </c>
      <c r="B358" s="601" t="str">
        <f t="shared" si="5"/>
        <v xml:space="preserve">LEVI </v>
      </c>
      <c r="C358" s="601" t="str">
        <f>MID(Table3[[#This Row],[Statement Code]],FIND("- ",Table3[[#This Row],[Statement Code]])+2,100)</f>
        <v>DECREASE/INCR OTH ASTS/LIABILT</v>
      </c>
      <c r="D358" s="602" t="s">
        <v>1134</v>
      </c>
      <c r="E358" s="601" t="s">
        <v>972</v>
      </c>
      <c r="F358" s="601" t="s">
        <v>551</v>
      </c>
      <c r="G358" s="601">
        <v>-31061</v>
      </c>
      <c r="H358" s="601">
        <v>113967</v>
      </c>
      <c r="I358" s="601">
        <v>-9709</v>
      </c>
      <c r="J358" s="601">
        <v>-550300</v>
      </c>
      <c r="K358" s="601">
        <v>-108500</v>
      </c>
      <c r="L358" s="601" t="s">
        <v>23</v>
      </c>
    </row>
    <row r="359" spans="1:12" hidden="1">
      <c r="A359" s="601" t="s">
        <v>1135</v>
      </c>
      <c r="B359" s="601" t="str">
        <f t="shared" si="5"/>
        <v xml:space="preserve">LEVI </v>
      </c>
      <c r="C359" s="601" t="str">
        <f>MID(Table3[[#This Row],[Statement Code]],FIND("- ",Table3[[#This Row],[Statement Code]])+2,100)</f>
        <v>DECREASE/INCREASE INVENTORIES</v>
      </c>
      <c r="D359" s="602" t="s">
        <v>1136</v>
      </c>
      <c r="E359" s="601" t="s">
        <v>972</v>
      </c>
      <c r="F359" s="601" t="s">
        <v>551</v>
      </c>
      <c r="G359" s="601">
        <v>-22434</v>
      </c>
      <c r="H359" s="601">
        <v>93096</v>
      </c>
      <c r="I359" s="601">
        <v>-84670</v>
      </c>
      <c r="J359" s="601" t="s">
        <v>23</v>
      </c>
      <c r="K359" s="601" t="s">
        <v>23</v>
      </c>
      <c r="L359" s="601" t="s">
        <v>23</v>
      </c>
    </row>
    <row r="360" spans="1:12" hidden="1">
      <c r="A360" s="601" t="s">
        <v>1137</v>
      </c>
      <c r="B360" s="601" t="str">
        <f t="shared" si="5"/>
        <v xml:space="preserve">LEVI </v>
      </c>
      <c r="C360" s="601" t="str">
        <f>MID(Table3[[#This Row],[Statement Code]],FIND("- ",Table3[[#This Row],[Statement Code]])+2,100)</f>
        <v>DECREASE IN INVESTMENTS</v>
      </c>
      <c r="D360" s="602" t="s">
        <v>1138</v>
      </c>
      <c r="E360" s="601" t="s">
        <v>972</v>
      </c>
      <c r="F360" s="601" t="s">
        <v>551</v>
      </c>
      <c r="G360" s="601">
        <v>34094</v>
      </c>
      <c r="H360" s="601">
        <v>93526</v>
      </c>
      <c r="I360" s="601">
        <v>126929</v>
      </c>
      <c r="J360" s="601">
        <v>93000</v>
      </c>
      <c r="K360" s="601">
        <v>70800</v>
      </c>
      <c r="L360" s="601" t="s">
        <v>23</v>
      </c>
    </row>
    <row r="361" spans="1:12" hidden="1">
      <c r="A361" s="601" t="s">
        <v>1139</v>
      </c>
      <c r="B361" s="601" t="str">
        <f t="shared" si="5"/>
        <v xml:space="preserve">AMER.EAG.OUTFITTERS </v>
      </c>
      <c r="C361" s="601" t="str">
        <f>MID(Table3[[#This Row],[Statement Code]],FIND("- ",Table3[[#This Row],[Statement Code]])+2,100)</f>
        <v>MARKET VALUE</v>
      </c>
      <c r="D361" s="602" t="s">
        <v>1140</v>
      </c>
      <c r="E361" s="601" t="s">
        <v>1141</v>
      </c>
      <c r="F361" s="601" t="s">
        <v>551</v>
      </c>
      <c r="G361" s="601">
        <v>2819.99</v>
      </c>
      <c r="H361" s="601">
        <v>2431.91</v>
      </c>
      <c r="I361" s="601">
        <v>4501.53</v>
      </c>
      <c r="J361" s="601">
        <v>2051.31</v>
      </c>
      <c r="K361" s="601">
        <v>2859.56</v>
      </c>
      <c r="L361" s="601">
        <v>3820.14</v>
      </c>
    </row>
    <row r="362" spans="1:12" hidden="1">
      <c r="A362" s="601" t="s">
        <v>1142</v>
      </c>
      <c r="B362" s="601" t="str">
        <f t="shared" si="5"/>
        <v xml:space="preserve">AMER.EAG.OUTFITTERS </v>
      </c>
      <c r="C362" s="601" t="str">
        <f>MID(Table3[[#This Row],[Statement Code]],FIND("- ",Table3[[#This Row],[Statement Code]])+2,100)</f>
        <v>PER</v>
      </c>
      <c r="D362" s="602" t="s">
        <v>1143</v>
      </c>
      <c r="E362" s="601" t="s">
        <v>1141</v>
      </c>
      <c r="F362" s="601" t="s">
        <v>551</v>
      </c>
      <c r="G362" s="601">
        <v>11</v>
      </c>
      <c r="H362" s="601" t="s">
        <v>23</v>
      </c>
      <c r="I362" s="601">
        <v>18.899999999999999</v>
      </c>
      <c r="J362" s="601">
        <v>11.8</v>
      </c>
      <c r="K362" s="601">
        <v>14.3</v>
      </c>
      <c r="L362" s="601">
        <v>15.9</v>
      </c>
    </row>
    <row r="363" spans="1:12" hidden="1">
      <c r="A363" s="601" t="s">
        <v>1144</v>
      </c>
      <c r="B363" s="601" t="str">
        <f t="shared" si="5"/>
        <v xml:space="preserve">AMER.EAG.OUTFITTERS </v>
      </c>
      <c r="C363" s="601" t="str">
        <f>MID(Table3[[#This Row],[Statement Code]],FIND("- ",Table3[[#This Row],[Statement Code]])+2,100)</f>
        <v>12MTH FORWARD EPS</v>
      </c>
      <c r="D363" s="602" t="s">
        <v>1145</v>
      </c>
      <c r="E363" s="601" t="s">
        <v>1141</v>
      </c>
      <c r="F363" s="601" t="s">
        <v>551</v>
      </c>
      <c r="G363" s="601">
        <v>1.6759999999999999</v>
      </c>
      <c r="H363" s="601">
        <v>0.65</v>
      </c>
      <c r="I363" s="601">
        <v>2.34</v>
      </c>
      <c r="J363" s="601">
        <v>0.86299999999999999</v>
      </c>
      <c r="K363" s="601">
        <v>1.357</v>
      </c>
      <c r="L363" s="601">
        <v>1.877</v>
      </c>
    </row>
    <row r="364" spans="1:12" hidden="1">
      <c r="A364" s="601" t="s">
        <v>1146</v>
      </c>
      <c r="B364" s="601" t="e">
        <f t="shared" si="5"/>
        <v>#VALUE!</v>
      </c>
      <c r="C364" s="601" t="e">
        <f>MID(Table3[[#This Row],[Statement Code]],FIND("- ",Table3[[#This Row],[Statement Code]])+2,100)</f>
        <v>#VALUE!</v>
      </c>
      <c r="D364" s="602" t="s">
        <v>1147</v>
      </c>
      <c r="E364" s="601" t="s">
        <v>1141</v>
      </c>
      <c r="F364" s="601" t="s">
        <v>551</v>
      </c>
      <c r="G364" s="601">
        <v>11.135</v>
      </c>
      <c r="H364" s="601">
        <v>4.2240000000000002</v>
      </c>
      <c r="I364" s="601">
        <v>8.9039999999999999</v>
      </c>
      <c r="J364" s="601">
        <v>8.0009999999999994</v>
      </c>
      <c r="K364" s="601">
        <v>9.1050000000000004</v>
      </c>
      <c r="L364" s="601">
        <v>9.4390000000000001</v>
      </c>
    </row>
    <row r="365" spans="1:12" hidden="1">
      <c r="A365" s="601" t="s">
        <v>1146</v>
      </c>
      <c r="B365" s="601" t="e">
        <f t="shared" si="5"/>
        <v>#VALUE!</v>
      </c>
      <c r="C365" s="601" t="e">
        <f>MID(Table3[[#This Row],[Statement Code]],FIND("- ",Table3[[#This Row],[Statement Code]])+2,100)</f>
        <v>#VALUE!</v>
      </c>
      <c r="D365" s="602" t="s">
        <v>1148</v>
      </c>
      <c r="E365" s="601" t="s">
        <v>1141</v>
      </c>
      <c r="F365" s="601" t="s">
        <v>551</v>
      </c>
      <c r="G365" s="601">
        <v>6.4480000000000004</v>
      </c>
      <c r="H365" s="601">
        <v>11.917</v>
      </c>
      <c r="I365" s="601">
        <v>6.843</v>
      </c>
      <c r="J365" s="601">
        <v>9.1460000000000008</v>
      </c>
      <c r="K365" s="601">
        <v>6.85</v>
      </c>
      <c r="L365" s="601">
        <v>6.9660000000000002</v>
      </c>
    </row>
    <row r="366" spans="1:12" hidden="1">
      <c r="A366" s="601" t="s">
        <v>1146</v>
      </c>
      <c r="B366" s="601" t="e">
        <f t="shared" si="5"/>
        <v>#VALUE!</v>
      </c>
      <c r="C366" s="601" t="e">
        <f>MID(Table3[[#This Row],[Statement Code]],FIND("- ",Table3[[#This Row],[Statement Code]])+2,100)</f>
        <v>#VALUE!</v>
      </c>
      <c r="D366" s="602" t="s">
        <v>1149</v>
      </c>
      <c r="E366" s="601" t="s">
        <v>1141</v>
      </c>
      <c r="F366" s="601" t="s">
        <v>551</v>
      </c>
      <c r="G366" s="601">
        <v>4.34</v>
      </c>
      <c r="H366" s="601">
        <v>5.6950000000000003</v>
      </c>
      <c r="I366" s="601">
        <v>5.4370000000000003</v>
      </c>
      <c r="J366" s="601">
        <v>4.9710000000000001</v>
      </c>
      <c r="K366" s="601">
        <v>4.1429999999999998</v>
      </c>
      <c r="L366" s="601">
        <v>4.7699999999999996</v>
      </c>
    </row>
    <row r="367" spans="1:12" hidden="1">
      <c r="A367" s="601" t="s">
        <v>1146</v>
      </c>
      <c r="B367" s="601" t="e">
        <f t="shared" si="5"/>
        <v>#VALUE!</v>
      </c>
      <c r="C367" s="601" t="e">
        <f>MID(Table3[[#This Row],[Statement Code]],FIND("- ",Table3[[#This Row],[Statement Code]])+2,100)</f>
        <v>#VALUE!</v>
      </c>
      <c r="D367" s="602" t="s">
        <v>1150</v>
      </c>
      <c r="E367" s="601" t="s">
        <v>1141</v>
      </c>
      <c r="F367" s="601" t="s">
        <v>551</v>
      </c>
      <c r="G367" s="601">
        <v>12.1929</v>
      </c>
      <c r="H367" s="601">
        <v>0.81969999999999998</v>
      </c>
      <c r="I367" s="601">
        <v>9.6629000000000005</v>
      </c>
      <c r="J367" s="601">
        <v>4.7183999999999999</v>
      </c>
      <c r="K367" s="601">
        <v>20.6492</v>
      </c>
      <c r="L367" s="601">
        <v>8.6308000000000007</v>
      </c>
    </row>
    <row r="368" spans="1:12" hidden="1">
      <c r="A368" s="601" t="s">
        <v>1146</v>
      </c>
      <c r="B368" s="601" t="e">
        <f t="shared" si="5"/>
        <v>#VALUE!</v>
      </c>
      <c r="C368" s="601" t="e">
        <f>MID(Table3[[#This Row],[Statement Code]],FIND("- ",Table3[[#This Row],[Statement Code]])+2,100)</f>
        <v>#VALUE!</v>
      </c>
      <c r="D368" s="602" t="s">
        <v>1151</v>
      </c>
      <c r="E368" s="601" t="s">
        <v>1141</v>
      </c>
      <c r="F368" s="601" t="s">
        <v>551</v>
      </c>
      <c r="G368" s="601">
        <v>0.54600000000000004</v>
      </c>
      <c r="H368" s="601">
        <v>0.46200000000000002</v>
      </c>
      <c r="I368" s="601">
        <v>0.85</v>
      </c>
      <c r="J368" s="601">
        <v>0.42399999999999999</v>
      </c>
      <c r="K368" s="601">
        <v>0.46400000000000002</v>
      </c>
      <c r="L368" s="601">
        <v>0.61299999999999999</v>
      </c>
    </row>
    <row r="369" spans="1:12" hidden="1">
      <c r="A369" s="601" t="s">
        <v>1146</v>
      </c>
      <c r="B369" s="601" t="e">
        <f t="shared" si="5"/>
        <v>#VALUE!</v>
      </c>
      <c r="C369" s="601" t="e">
        <f>MID(Table3[[#This Row],[Statement Code]],FIND("- ",Table3[[#This Row],[Statement Code]])+2,100)</f>
        <v>#VALUE!</v>
      </c>
      <c r="D369" s="602" t="s">
        <v>1152</v>
      </c>
      <c r="E369" s="601" t="s">
        <v>1141</v>
      </c>
      <c r="F369" s="601" t="s">
        <v>551</v>
      </c>
      <c r="G369" s="601">
        <v>-0.997</v>
      </c>
      <c r="H369" s="601">
        <v>-2.1269999999999998</v>
      </c>
      <c r="I369" s="601">
        <v>-1.401</v>
      </c>
      <c r="J369" s="601">
        <v>-0.75800000000000001</v>
      </c>
      <c r="K369" s="601">
        <v>-1.2629999999999999</v>
      </c>
      <c r="L369" s="601">
        <v>-1.333</v>
      </c>
    </row>
    <row r="370" spans="1:12" hidden="1">
      <c r="A370" s="601" t="s">
        <v>1146</v>
      </c>
      <c r="B370" s="601" t="e">
        <f t="shared" si="5"/>
        <v>#VALUE!</v>
      </c>
      <c r="C370" s="601" t="e">
        <f>MID(Table3[[#This Row],[Statement Code]],FIND("- ",Table3[[#This Row],[Statement Code]])+2,100)</f>
        <v>#VALUE!</v>
      </c>
      <c r="D370" s="602" t="s">
        <v>1153</v>
      </c>
      <c r="E370" s="601" t="s">
        <v>1141</v>
      </c>
      <c r="F370" s="601" t="s">
        <v>551</v>
      </c>
      <c r="G370" s="601">
        <v>-0.22700000000000001</v>
      </c>
      <c r="H370" s="601">
        <v>-0.38100000000000001</v>
      </c>
      <c r="I370" s="601">
        <v>-0.22700000000000001</v>
      </c>
      <c r="J370" s="601">
        <v>-0.128</v>
      </c>
      <c r="K370" s="601">
        <v>-0.25800000000000001</v>
      </c>
      <c r="L370" s="601">
        <v>-0.22600000000000001</v>
      </c>
    </row>
    <row r="371" spans="1:12" hidden="1">
      <c r="A371" s="601" t="s">
        <v>1146</v>
      </c>
      <c r="B371" s="601" t="e">
        <f t="shared" si="5"/>
        <v>#VALUE!</v>
      </c>
      <c r="C371" s="601" t="e">
        <f>MID(Table3[[#This Row],[Statement Code]],FIND("- ",Table3[[#This Row],[Statement Code]])+2,100)</f>
        <v>#VALUE!</v>
      </c>
      <c r="D371" s="602" t="s">
        <v>1154</v>
      </c>
      <c r="E371" s="601" t="s">
        <v>1141</v>
      </c>
      <c r="F371" s="601" t="s">
        <v>551</v>
      </c>
      <c r="G371" s="601">
        <v>0.53</v>
      </c>
      <c r="H371" s="601">
        <v>1.06</v>
      </c>
      <c r="I371" s="601">
        <v>0.52</v>
      </c>
      <c r="J371" s="601">
        <v>0.74</v>
      </c>
      <c r="K371" s="601">
        <v>0.59</v>
      </c>
      <c r="L371" s="601">
        <v>0.5</v>
      </c>
    </row>
    <row r="372" spans="1:12" hidden="1">
      <c r="A372" s="601" t="s">
        <v>1146</v>
      </c>
      <c r="B372" s="601" t="e">
        <f t="shared" si="5"/>
        <v>#VALUE!</v>
      </c>
      <c r="C372" s="601" t="e">
        <f>MID(Table3[[#This Row],[Statement Code]],FIND("- ",Table3[[#This Row],[Statement Code]])+2,100)</f>
        <v>#VALUE!</v>
      </c>
      <c r="D372" s="602" t="s">
        <v>1155</v>
      </c>
      <c r="E372" s="601" t="s">
        <v>1141</v>
      </c>
      <c r="F372" s="601" t="s">
        <v>551</v>
      </c>
      <c r="G372" s="601">
        <v>0.33</v>
      </c>
      <c r="H372" s="601">
        <v>0.63</v>
      </c>
      <c r="I372" s="601">
        <v>0.36</v>
      </c>
      <c r="J372" s="601">
        <v>0.44</v>
      </c>
      <c r="K372" s="601">
        <v>0.38</v>
      </c>
      <c r="L372" s="601">
        <v>0.36</v>
      </c>
    </row>
    <row r="373" spans="1:12" hidden="1">
      <c r="A373" s="601" t="s">
        <v>1146</v>
      </c>
      <c r="B373" s="601" t="e">
        <f t="shared" si="5"/>
        <v>#VALUE!</v>
      </c>
      <c r="C373" s="601" t="e">
        <f>MID(Table3[[#This Row],[Statement Code]],FIND("- ",Table3[[#This Row],[Statement Code]])+2,100)</f>
        <v>#VALUE!</v>
      </c>
      <c r="D373" s="602" t="s">
        <v>1156</v>
      </c>
      <c r="E373" s="601" t="s">
        <v>1141</v>
      </c>
      <c r="F373" s="601" t="s">
        <v>551</v>
      </c>
      <c r="G373" s="601">
        <v>1.7779</v>
      </c>
      <c r="H373" s="601">
        <v>2.242</v>
      </c>
      <c r="I373" s="601">
        <v>3.1423999999999999</v>
      </c>
      <c r="J373" s="601">
        <v>1.4483999999999999</v>
      </c>
      <c r="K373" s="601">
        <v>1.3918999999999999</v>
      </c>
      <c r="L373" s="601">
        <v>1.7085999999999999</v>
      </c>
    </row>
    <row r="374" spans="1:12">
      <c r="A374" s="601" t="s">
        <v>1157</v>
      </c>
      <c r="B374" s="601" t="str">
        <f t="shared" si="5"/>
        <v xml:space="preserve">AMER.EAG.OUTFITTERS </v>
      </c>
      <c r="C374" s="601" t="str">
        <f>MID(Table3[[#This Row],[Statement Code]],FIND("- ",Table3[[#This Row],[Statement Code]])+2,100)</f>
        <v>12MTH TRAILING EPS</v>
      </c>
      <c r="D374" s="602" t="s">
        <v>1158</v>
      </c>
      <c r="E374" s="601" t="s">
        <v>1141</v>
      </c>
      <c r="F374" s="601" t="s">
        <v>551</v>
      </c>
      <c r="G374" s="601">
        <v>1.55</v>
      </c>
      <c r="H374" s="601">
        <v>0.32700000000000001</v>
      </c>
      <c r="I374" s="601">
        <v>1.4930000000000001</v>
      </c>
      <c r="J374" s="601">
        <v>1.177</v>
      </c>
      <c r="K374" s="601">
        <v>1.1970000000000001</v>
      </c>
      <c r="L374" s="601">
        <v>1.68</v>
      </c>
    </row>
    <row r="375" spans="1:12" hidden="1">
      <c r="A375" s="601" t="s">
        <v>1159</v>
      </c>
      <c r="B375" s="601" t="str">
        <f t="shared" si="5"/>
        <v xml:space="preserve">AMER.EAG.OUTFITTERS </v>
      </c>
      <c r="C375" s="601" t="str">
        <f>MID(Table3[[#This Row],[Statement Code]],FIND("- ",Table3[[#This Row],[Statement Code]])+2,100)</f>
        <v>DIV.PER SHR.</v>
      </c>
      <c r="D375" s="602" t="s">
        <v>1160</v>
      </c>
      <c r="E375" s="601" t="s">
        <v>1141</v>
      </c>
      <c r="F375" s="601" t="s">
        <v>551</v>
      </c>
      <c r="G375" s="601">
        <v>0.55000000000000004</v>
      </c>
      <c r="H375" s="601">
        <v>0</v>
      </c>
      <c r="I375" s="601">
        <v>0.72</v>
      </c>
      <c r="J375" s="601">
        <v>0</v>
      </c>
      <c r="K375" s="601">
        <v>0.4</v>
      </c>
      <c r="L375" s="601">
        <v>0.5</v>
      </c>
    </row>
    <row r="376" spans="1:12" hidden="1">
      <c r="A376" s="601" t="s">
        <v>1146</v>
      </c>
      <c r="B376" s="601" t="e">
        <f t="shared" si="5"/>
        <v>#VALUE!</v>
      </c>
      <c r="C376" s="601" t="e">
        <f>MID(Table3[[#This Row],[Statement Code]],FIND("- ",Table3[[#This Row],[Statement Code]])+2,100)</f>
        <v>#VALUE!</v>
      </c>
      <c r="D376" s="602" t="s">
        <v>1161</v>
      </c>
      <c r="E376" s="601" t="s">
        <v>1141</v>
      </c>
      <c r="F376" s="601" t="s">
        <v>551</v>
      </c>
      <c r="G376" s="601">
        <v>3.8370000000000002</v>
      </c>
      <c r="H376" s="601">
        <v>2.1880000000000002</v>
      </c>
      <c r="I376" s="601">
        <v>2.3719999999999999</v>
      </c>
      <c r="J376" s="601">
        <v>4.7270000000000003</v>
      </c>
      <c r="K376" s="601">
        <v>2.8639999999999999</v>
      </c>
      <c r="L376" s="601">
        <v>2.61</v>
      </c>
    </row>
    <row r="377" spans="1:12" hidden="1">
      <c r="A377" s="601" t="s">
        <v>1144</v>
      </c>
      <c r="B377" s="601" t="str">
        <f t="shared" si="5"/>
        <v xml:space="preserve">AMER.EAG.OUTFITTERS </v>
      </c>
      <c r="C377" s="601" t="str">
        <f>MID(Table3[[#This Row],[Statement Code]],FIND("- ",Table3[[#This Row],[Statement Code]])+2,100)</f>
        <v>12MTH FORWARD EPS</v>
      </c>
      <c r="D377" s="602" t="s">
        <v>1145</v>
      </c>
      <c r="E377" s="601" t="s">
        <v>1141</v>
      </c>
      <c r="F377" s="601" t="s">
        <v>551</v>
      </c>
      <c r="G377" s="601">
        <v>1.6759999999999999</v>
      </c>
      <c r="H377" s="601">
        <v>0.65</v>
      </c>
      <c r="I377" s="601">
        <v>2.34</v>
      </c>
      <c r="J377" s="601">
        <v>0.86299999999999999</v>
      </c>
      <c r="K377" s="601">
        <v>1.357</v>
      </c>
      <c r="L377" s="601">
        <v>1.877</v>
      </c>
    </row>
    <row r="378" spans="1:12" hidden="1">
      <c r="A378" s="601" t="s">
        <v>1142</v>
      </c>
      <c r="B378" s="601" t="str">
        <f t="shared" si="5"/>
        <v xml:space="preserve">AMER.EAG.OUTFITTERS </v>
      </c>
      <c r="C378" s="601" t="str">
        <f>MID(Table3[[#This Row],[Statement Code]],FIND("- ",Table3[[#This Row],[Statement Code]])+2,100)</f>
        <v>PER</v>
      </c>
      <c r="D378" s="602" t="s">
        <v>1143</v>
      </c>
      <c r="E378" s="601" t="s">
        <v>1141</v>
      </c>
      <c r="F378" s="601" t="s">
        <v>551</v>
      </c>
      <c r="G378" s="601">
        <v>11</v>
      </c>
      <c r="H378" s="601" t="s">
        <v>23</v>
      </c>
      <c r="I378" s="601">
        <v>18.899999999999999</v>
      </c>
      <c r="J378" s="601">
        <v>11.8</v>
      </c>
      <c r="K378" s="601">
        <v>14.3</v>
      </c>
      <c r="L378" s="601">
        <v>15.9</v>
      </c>
    </row>
    <row r="379" spans="1:12" hidden="1">
      <c r="A379" s="601" t="s">
        <v>1139</v>
      </c>
      <c r="B379" s="601" t="str">
        <f t="shared" si="5"/>
        <v xml:space="preserve">AMER.EAG.OUTFITTERS </v>
      </c>
      <c r="C379" s="601" t="str">
        <f>MID(Table3[[#This Row],[Statement Code]],FIND("- ",Table3[[#This Row],[Statement Code]])+2,100)</f>
        <v>MARKET VALUE</v>
      </c>
      <c r="D379" s="602" t="s">
        <v>1140</v>
      </c>
      <c r="E379" s="601" t="s">
        <v>1141</v>
      </c>
      <c r="F379" s="601" t="s">
        <v>551</v>
      </c>
      <c r="G379" s="601">
        <v>2819.99</v>
      </c>
      <c r="H379" s="601">
        <v>2431.91</v>
      </c>
      <c r="I379" s="601">
        <v>4501.53</v>
      </c>
      <c r="J379" s="601">
        <v>2051.31</v>
      </c>
      <c r="K379" s="601">
        <v>2859.56</v>
      </c>
      <c r="L379" s="601">
        <v>3820.14</v>
      </c>
    </row>
    <row r="380" spans="1:12" hidden="1">
      <c r="A380" s="601" t="s">
        <v>1162</v>
      </c>
      <c r="B380" s="601" t="str">
        <f t="shared" si="5"/>
        <v xml:space="preserve">AMER.EAG.OUTFITTERS </v>
      </c>
      <c r="C380" s="601" t="str">
        <f>MID(Table3[[#This Row],[Statement Code]],FIND("- ",Table3[[#This Row],[Statement Code]])+2,100)</f>
        <v>EARNINGS PER SHR</v>
      </c>
      <c r="D380" s="602" t="s">
        <v>1163</v>
      </c>
      <c r="E380" s="601" t="s">
        <v>1141</v>
      </c>
      <c r="F380" s="601" t="s">
        <v>551</v>
      </c>
      <c r="G380" s="601">
        <v>1.52</v>
      </c>
      <c r="H380" s="601">
        <v>0</v>
      </c>
      <c r="I380" s="601">
        <v>1.41</v>
      </c>
      <c r="J380" s="601">
        <v>0.93</v>
      </c>
      <c r="K380" s="601">
        <v>1.01</v>
      </c>
      <c r="L380" s="601">
        <v>1.25</v>
      </c>
    </row>
    <row r="381" spans="1:12" hidden="1">
      <c r="A381" s="601" t="s">
        <v>1146</v>
      </c>
      <c r="B381" s="601" t="e">
        <f t="shared" si="5"/>
        <v>#VALUE!</v>
      </c>
      <c r="C381" s="601" t="e">
        <f>MID(Table3[[#This Row],[Statement Code]],FIND("- ",Table3[[#This Row],[Statement Code]])+2,100)</f>
        <v>#VALUE!</v>
      </c>
      <c r="D381" s="602" t="s">
        <v>1164</v>
      </c>
      <c r="E381" s="601" t="s">
        <v>1141</v>
      </c>
      <c r="F381" s="601" t="s">
        <v>23</v>
      </c>
      <c r="G381" s="601">
        <v>1.1577999999999999</v>
      </c>
      <c r="H381" s="601">
        <v>1.5417000000000001</v>
      </c>
      <c r="I381" s="601">
        <v>1.5643</v>
      </c>
      <c r="J381" s="601">
        <v>1.6218999999999999</v>
      </c>
      <c r="K381" s="601">
        <v>1.5732999999999999</v>
      </c>
      <c r="L381" s="601">
        <v>1.4901</v>
      </c>
    </row>
    <row r="382" spans="1:12" hidden="1">
      <c r="A382" s="601" t="s">
        <v>1146</v>
      </c>
      <c r="B382" s="601" t="e">
        <f t="shared" si="5"/>
        <v>#VALUE!</v>
      </c>
      <c r="C382" s="601" t="e">
        <f>MID(Table3[[#This Row],[Statement Code]],FIND("- ",Table3[[#This Row],[Statement Code]])+2,100)</f>
        <v>#VALUE!</v>
      </c>
      <c r="D382" s="602" t="s">
        <v>1165</v>
      </c>
      <c r="E382" s="601" t="s">
        <v>1141</v>
      </c>
      <c r="F382" s="601" t="s">
        <v>23</v>
      </c>
      <c r="G382" s="601">
        <v>0.32100000000000001</v>
      </c>
      <c r="H382" s="601">
        <v>0.46250000000000002</v>
      </c>
      <c r="I382" s="601">
        <v>0.47399999999999998</v>
      </c>
      <c r="J382" s="601">
        <v>0.49859999999999999</v>
      </c>
      <c r="K382" s="601">
        <v>0.51100000000000001</v>
      </c>
      <c r="L382" s="601">
        <v>0.5121</v>
      </c>
    </row>
    <row r="383" spans="1:12" hidden="1">
      <c r="A383" s="601" t="s">
        <v>1166</v>
      </c>
      <c r="B383" s="601" t="str">
        <f t="shared" si="5"/>
        <v xml:space="preserve">AMERICAN </v>
      </c>
      <c r="C383" s="601" t="str">
        <f>MID(Table3[[#This Row],[Statement Code]],FIND("- ",Table3[[#This Row],[Statement Code]])+2,100)</f>
        <v>ACCOUNTS PAYABLE</v>
      </c>
      <c r="D383" s="602" t="s">
        <v>1167</v>
      </c>
      <c r="E383" s="601" t="s">
        <v>1141</v>
      </c>
      <c r="F383" s="601" t="s">
        <v>551</v>
      </c>
      <c r="G383" s="601">
        <v>285746</v>
      </c>
      <c r="H383" s="601">
        <v>255912</v>
      </c>
      <c r="I383" s="601">
        <v>231782</v>
      </c>
      <c r="J383" s="601">
        <v>234340</v>
      </c>
      <c r="K383" s="601">
        <v>268308</v>
      </c>
      <c r="L383" s="601" t="s">
        <v>23</v>
      </c>
    </row>
    <row r="384" spans="1:12" hidden="1">
      <c r="A384" s="601" t="s">
        <v>1168</v>
      </c>
      <c r="B384" s="601" t="str">
        <f t="shared" si="5"/>
        <v xml:space="preserve">AMERICAN </v>
      </c>
      <c r="C384" s="601" t="str">
        <f>MID(Table3[[#This Row],[Statement Code]],FIND("- ",Table3[[#This Row],[Statement Code]])+2,100)</f>
        <v>AMORT &amp; IMPAIR OF GOODWILL</v>
      </c>
      <c r="D384" s="602" t="s">
        <v>1169</v>
      </c>
      <c r="E384" s="601" t="s">
        <v>1141</v>
      </c>
      <c r="F384" s="601" t="s">
        <v>551</v>
      </c>
      <c r="G384" s="601" t="s">
        <v>23</v>
      </c>
      <c r="H384" s="601" t="s">
        <v>23</v>
      </c>
      <c r="I384" s="601" t="s">
        <v>23</v>
      </c>
      <c r="J384" s="601" t="s">
        <v>23</v>
      </c>
      <c r="K384" s="601">
        <v>39600</v>
      </c>
      <c r="L384" s="601" t="s">
        <v>23</v>
      </c>
    </row>
    <row r="385" spans="1:12" hidden="1">
      <c r="A385" s="601" t="s">
        <v>1170</v>
      </c>
      <c r="B385" s="601" t="str">
        <f t="shared" si="5"/>
        <v xml:space="preserve">AMERICAN </v>
      </c>
      <c r="C385" s="601" t="str">
        <f>MID(Table3[[#This Row],[Statement Code]],FIND("- ",Table3[[#This Row],[Statement Code]])+2,100)</f>
        <v>AMORTIZATION OF DEFERRED CHARG</v>
      </c>
      <c r="D385" s="602" t="s">
        <v>1171</v>
      </c>
      <c r="E385" s="601" t="s">
        <v>1141</v>
      </c>
      <c r="F385" s="601" t="s">
        <v>551</v>
      </c>
      <c r="G385" s="601">
        <v>0</v>
      </c>
      <c r="H385" s="601">
        <v>2415</v>
      </c>
      <c r="I385" s="601">
        <v>3191</v>
      </c>
      <c r="J385" s="601">
        <v>0</v>
      </c>
      <c r="K385" s="601">
        <v>0</v>
      </c>
      <c r="L385" s="601" t="s">
        <v>23</v>
      </c>
    </row>
    <row r="386" spans="1:12" hidden="1">
      <c r="A386" s="601" t="s">
        <v>1172</v>
      </c>
      <c r="B386" s="601" t="str">
        <f t="shared" si="5"/>
        <v xml:space="preserve">AMERICAN </v>
      </c>
      <c r="C386" s="601" t="str">
        <f>MID(Table3[[#This Row],[Statement Code]],FIND("- ",Table3[[#This Row],[Statement Code]])+2,100)</f>
        <v>AMORTIZATION-INTANGIBLE ASSETS</v>
      </c>
      <c r="D386" s="602" t="s">
        <v>1173</v>
      </c>
      <c r="E386" s="601" t="s">
        <v>1141</v>
      </c>
      <c r="F386" s="601" t="s">
        <v>551</v>
      </c>
      <c r="G386" s="601" t="s">
        <v>23</v>
      </c>
      <c r="H386" s="601">
        <v>6167</v>
      </c>
      <c r="I386" s="601">
        <v>9659</v>
      </c>
      <c r="J386" s="601" t="s">
        <v>23</v>
      </c>
      <c r="K386" s="601" t="s">
        <v>23</v>
      </c>
      <c r="L386" s="601" t="s">
        <v>23</v>
      </c>
    </row>
    <row r="387" spans="1:12" hidden="1">
      <c r="A387" s="601" t="s">
        <v>1174</v>
      </c>
      <c r="B387" s="601" t="str">
        <f t="shared" ref="B387:B450" si="6">LEFT(A387,FIND(" ",A387))</f>
        <v xml:space="preserve">AMERICAN </v>
      </c>
      <c r="C387" s="601" t="str">
        <f>MID(Table3[[#This Row],[Statement Code]],FIND("- ",Table3[[#This Row],[Statement Code]])+2,100)</f>
        <v>AMORTIZATION OF INTANGIBLES</v>
      </c>
      <c r="D387" s="602" t="s">
        <v>1175</v>
      </c>
      <c r="E387" s="601" t="s">
        <v>1141</v>
      </c>
      <c r="F387" s="601" t="s">
        <v>551</v>
      </c>
      <c r="G387" s="601">
        <v>4184</v>
      </c>
      <c r="H387" s="601">
        <v>3752</v>
      </c>
      <c r="I387" s="601">
        <v>6468</v>
      </c>
      <c r="J387" s="601">
        <v>9162</v>
      </c>
      <c r="K387" s="601">
        <v>8748</v>
      </c>
      <c r="L387" s="601" t="s">
        <v>23</v>
      </c>
    </row>
    <row r="388" spans="1:12" hidden="1">
      <c r="A388" s="601" t="s">
        <v>1176</v>
      </c>
      <c r="B388" s="601" t="str">
        <f t="shared" si="6"/>
        <v xml:space="preserve">AMERICAN </v>
      </c>
      <c r="C388" s="601" t="str">
        <f>MID(Table3[[#This Row],[Statement Code]],FIND("- ",Table3[[#This Row],[Statement Code]])+2,100)</f>
        <v>BOOK VALUE-OUT SHARES-FISCAL</v>
      </c>
      <c r="D388" s="602" t="s">
        <v>1177</v>
      </c>
      <c r="E388" s="601" t="s">
        <v>1141</v>
      </c>
      <c r="F388" s="601" t="s">
        <v>551</v>
      </c>
      <c r="G388" s="601">
        <v>7.4720000000000004</v>
      </c>
      <c r="H388" s="601">
        <v>6.5330000000000004</v>
      </c>
      <c r="I388" s="601">
        <v>8.3810000000000002</v>
      </c>
      <c r="J388" s="601">
        <v>6.9459999999999997</v>
      </c>
      <c r="K388" s="601">
        <v>8.8190000000000008</v>
      </c>
      <c r="L388" s="601" t="s">
        <v>23</v>
      </c>
    </row>
    <row r="389" spans="1:12" hidden="1">
      <c r="A389" s="601" t="s">
        <v>1178</v>
      </c>
      <c r="B389" s="601" t="str">
        <f t="shared" si="6"/>
        <v xml:space="preserve">AMERICAN </v>
      </c>
      <c r="C389" s="601" t="str">
        <f>MID(Table3[[#This Row],[Statement Code]],FIND("- ",Table3[[#This Row],[Statement Code]])+2,100)</f>
        <v>BOOK VALUE PER SHARE</v>
      </c>
      <c r="D389" s="602" t="s">
        <v>1179</v>
      </c>
      <c r="E389" s="601" t="s">
        <v>1141</v>
      </c>
      <c r="F389" s="601" t="s">
        <v>551</v>
      </c>
      <c r="G389" s="601">
        <v>7.4720000000000004</v>
      </c>
      <c r="H389" s="601">
        <v>6.5330000000000004</v>
      </c>
      <c r="I389" s="601">
        <v>8.3810000000000002</v>
      </c>
      <c r="J389" s="601">
        <v>6.9459999999999997</v>
      </c>
      <c r="K389" s="601">
        <v>8.8190000000000008</v>
      </c>
      <c r="L389" s="601" t="s">
        <v>23</v>
      </c>
    </row>
    <row r="390" spans="1:12">
      <c r="A390" s="601" t="s">
        <v>1180</v>
      </c>
      <c r="B390" s="601" t="str">
        <f t="shared" si="6"/>
        <v xml:space="preserve">AMERICAN </v>
      </c>
      <c r="C390" s="601" t="str">
        <f>MID(Table3[[#This Row],[Statement Code]],FIND("- ",Table3[[#This Row],[Statement Code]])+2,100)</f>
        <v>CAPITAL EXPENDITURES</v>
      </c>
      <c r="D390" s="602" t="s">
        <v>1181</v>
      </c>
      <c r="E390" s="601" t="s">
        <v>1141</v>
      </c>
      <c r="F390" s="601" t="s">
        <v>551</v>
      </c>
      <c r="G390" s="601">
        <v>210360</v>
      </c>
      <c r="H390" s="601">
        <v>127975</v>
      </c>
      <c r="I390" s="601">
        <v>233847</v>
      </c>
      <c r="J390" s="601">
        <v>260378</v>
      </c>
      <c r="K390" s="601">
        <v>174437</v>
      </c>
      <c r="L390" s="601" t="s">
        <v>23</v>
      </c>
    </row>
    <row r="391" spans="1:12" hidden="1">
      <c r="A391" s="601" t="s">
        <v>1182</v>
      </c>
      <c r="B391" s="601" t="str">
        <f t="shared" si="6"/>
        <v xml:space="preserve">AMERICAN </v>
      </c>
      <c r="C391" s="601" t="str">
        <f>MID(Table3[[#This Row],[Statement Code]],FIND("- ",Table3[[#This Row],[Statement Code]])+2,100)</f>
        <v>CASH</v>
      </c>
      <c r="D391" s="602" t="s">
        <v>1183</v>
      </c>
      <c r="E391" s="601" t="s">
        <v>1141</v>
      </c>
      <c r="F391" s="601" t="s">
        <v>551</v>
      </c>
      <c r="G391" s="601">
        <v>126087</v>
      </c>
      <c r="H391" s="601">
        <v>524970</v>
      </c>
      <c r="I391" s="601">
        <v>138758</v>
      </c>
      <c r="J391" s="601">
        <v>84960</v>
      </c>
      <c r="K391" s="601">
        <v>162279</v>
      </c>
      <c r="L391" s="601" t="s">
        <v>23</v>
      </c>
    </row>
    <row r="392" spans="1:12" hidden="1">
      <c r="A392" s="601" t="s">
        <v>1184</v>
      </c>
      <c r="B392" s="601" t="str">
        <f t="shared" si="6"/>
        <v xml:space="preserve">AMERICAN </v>
      </c>
      <c r="C392" s="601" t="str">
        <f>MID(Table3[[#This Row],[Statement Code]],FIND("- ",Table3[[#This Row],[Statement Code]])+2,100)</f>
        <v>CASH - GENERIC</v>
      </c>
      <c r="D392" s="602" t="s">
        <v>1185</v>
      </c>
      <c r="E392" s="601" t="s">
        <v>1141</v>
      </c>
      <c r="F392" s="601" t="s">
        <v>551</v>
      </c>
      <c r="G392" s="601">
        <v>416930</v>
      </c>
      <c r="H392" s="601">
        <v>850477</v>
      </c>
      <c r="I392" s="601">
        <v>434770</v>
      </c>
      <c r="J392" s="601">
        <v>170209</v>
      </c>
      <c r="K392" s="601">
        <v>454094</v>
      </c>
      <c r="L392" s="601" t="s">
        <v>23</v>
      </c>
    </row>
    <row r="393" spans="1:12">
      <c r="A393" s="601" t="s">
        <v>1186</v>
      </c>
      <c r="B393" s="601" t="str">
        <f t="shared" si="6"/>
        <v xml:space="preserve">AMERICAN </v>
      </c>
      <c r="C393" s="601" t="str">
        <f>MID(Table3[[#This Row],[Statement Code]],FIND("- ",Table3[[#This Row],[Statement Code]])+2,100)</f>
        <v>CASH &amp; SHORT TERM INVESTMENTS</v>
      </c>
      <c r="D393" s="602" t="s">
        <v>1187</v>
      </c>
      <c r="E393" s="601" t="s">
        <v>1141</v>
      </c>
      <c r="F393" s="601" t="s">
        <v>551</v>
      </c>
      <c r="G393" s="601">
        <v>416930</v>
      </c>
      <c r="H393" s="601">
        <v>850477</v>
      </c>
      <c r="I393" s="601">
        <v>434770</v>
      </c>
      <c r="J393" s="601">
        <v>170209</v>
      </c>
      <c r="K393" s="601">
        <v>454094</v>
      </c>
      <c r="L393" s="601" t="s">
        <v>23</v>
      </c>
    </row>
    <row r="394" spans="1:12" hidden="1">
      <c r="A394" s="601" t="s">
        <v>1188</v>
      </c>
      <c r="B394" s="601" t="str">
        <f t="shared" si="6"/>
        <v xml:space="preserve">AMERICAN </v>
      </c>
      <c r="C394" s="601" t="str">
        <f>MID(Table3[[#This Row],[Statement Code]],FIND("- ",Table3[[#This Row],[Statement Code]])+2,100)</f>
        <v>CASH DIVIDENDS PAID - TOTAL</v>
      </c>
      <c r="D394" s="602" t="s">
        <v>1189</v>
      </c>
      <c r="E394" s="601" t="s">
        <v>1141</v>
      </c>
      <c r="F394" s="601" t="s">
        <v>551</v>
      </c>
      <c r="G394" s="601">
        <v>92783</v>
      </c>
      <c r="H394" s="601">
        <v>22854</v>
      </c>
      <c r="I394" s="601">
        <v>113945</v>
      </c>
      <c r="J394" s="601">
        <v>64767</v>
      </c>
      <c r="K394" s="601">
        <v>83825</v>
      </c>
      <c r="L394" s="601" t="s">
        <v>23</v>
      </c>
    </row>
    <row r="395" spans="1:12" hidden="1">
      <c r="A395" s="601" t="s">
        <v>1190</v>
      </c>
      <c r="B395" s="601" t="str">
        <f t="shared" si="6"/>
        <v xml:space="preserve">AMERICAN </v>
      </c>
      <c r="C395" s="601" t="str">
        <f>MID(Table3[[#This Row],[Statement Code]],FIND("- ",Table3[[#This Row],[Statement Code]])+2,100)</f>
        <v>CASH FLOW PER SHARE</v>
      </c>
      <c r="D395" s="602" t="s">
        <v>1191</v>
      </c>
      <c r="E395" s="601" t="s">
        <v>1141</v>
      </c>
      <c r="F395" s="601" t="s">
        <v>551</v>
      </c>
      <c r="G395" s="601">
        <v>2.73</v>
      </c>
      <c r="H395" s="601">
        <v>1.222</v>
      </c>
      <c r="I395" s="601">
        <v>3.0409999999999999</v>
      </c>
      <c r="J395" s="601">
        <v>2.3809999999999998</v>
      </c>
      <c r="K395" s="601">
        <v>2.6880000000000002</v>
      </c>
      <c r="L395" s="601" t="s">
        <v>23</v>
      </c>
    </row>
    <row r="396" spans="1:12" hidden="1">
      <c r="A396" s="601" t="s">
        <v>1192</v>
      </c>
      <c r="B396" s="601" t="str">
        <f t="shared" si="6"/>
        <v xml:space="preserve">AMERICAN </v>
      </c>
      <c r="C396" s="601" t="str">
        <f>MID(Table3[[#This Row],[Statement Code]],FIND("- ",Table3[[#This Row],[Statement Code]])+2,100)</f>
        <v>CASH FLOW PER SHARE - FIS YR</v>
      </c>
      <c r="D396" s="602" t="s">
        <v>1193</v>
      </c>
      <c r="E396" s="601" t="s">
        <v>1141</v>
      </c>
      <c r="F396" s="601" t="s">
        <v>551</v>
      </c>
      <c r="G396" s="601">
        <v>2.742</v>
      </c>
      <c r="H396" s="601">
        <v>1.222</v>
      </c>
      <c r="I396" s="601">
        <v>3.0409999999999999</v>
      </c>
      <c r="J396" s="601">
        <v>2.3809999999999998</v>
      </c>
      <c r="K396" s="601">
        <v>2.6880000000000002</v>
      </c>
      <c r="L396" s="601" t="s">
        <v>23</v>
      </c>
    </row>
    <row r="397" spans="1:12" hidden="1">
      <c r="A397" s="601" t="s">
        <v>1194</v>
      </c>
      <c r="B397" s="601" t="str">
        <f t="shared" si="6"/>
        <v xml:space="preserve">AMERICAN </v>
      </c>
      <c r="C397" s="601" t="str">
        <f>MID(Table3[[#This Row],[Statement Code]],FIND("- ",Table3[[#This Row],[Statement Code]])+2,100)</f>
        <v>COMMON DIVIDENDS (CASH)</v>
      </c>
      <c r="D397" s="602" t="s">
        <v>1195</v>
      </c>
      <c r="E397" s="601" t="s">
        <v>1141</v>
      </c>
      <c r="F397" s="601" t="s">
        <v>551</v>
      </c>
      <c r="G397" s="601">
        <v>92783</v>
      </c>
      <c r="H397" s="601">
        <v>22854</v>
      </c>
      <c r="I397" s="601">
        <v>113945</v>
      </c>
      <c r="J397" s="601">
        <v>64767</v>
      </c>
      <c r="K397" s="601">
        <v>83825</v>
      </c>
      <c r="L397" s="601" t="s">
        <v>23</v>
      </c>
    </row>
    <row r="398" spans="1:12" hidden="1">
      <c r="A398" s="601" t="s">
        <v>1196</v>
      </c>
      <c r="B398" s="601" t="str">
        <f t="shared" si="6"/>
        <v xml:space="preserve">AMERICAN </v>
      </c>
      <c r="C398" s="601" t="str">
        <f>MID(Table3[[#This Row],[Statement Code]],FIND("- ",Table3[[#This Row],[Statement Code]])+2,100)</f>
        <v>COMMON SHAREHOLDERS' EQUITY</v>
      </c>
      <c r="D398" s="602" t="s">
        <v>1197</v>
      </c>
      <c r="E398" s="601" t="s">
        <v>1141</v>
      </c>
      <c r="F398" s="601" t="s">
        <v>551</v>
      </c>
      <c r="G398" s="601">
        <v>1247853</v>
      </c>
      <c r="H398" s="601">
        <v>1086665</v>
      </c>
      <c r="I398" s="601">
        <v>1413796</v>
      </c>
      <c r="J398" s="601">
        <v>1354965</v>
      </c>
      <c r="K398" s="601">
        <v>1736759</v>
      </c>
      <c r="L398" s="601" t="s">
        <v>23</v>
      </c>
    </row>
    <row r="399" spans="1:12">
      <c r="A399" s="601" t="s">
        <v>1198</v>
      </c>
      <c r="B399" s="601" t="str">
        <f t="shared" si="6"/>
        <v xml:space="preserve">AMERICAN </v>
      </c>
      <c r="C399" s="601" t="str">
        <f>MID(Table3[[#This Row],[Statement Code]],FIND("- ",Table3[[#This Row],[Statement Code]])+2,100)</f>
        <v>COMMON STOCK</v>
      </c>
      <c r="D399" s="602" t="s">
        <v>1199</v>
      </c>
      <c r="E399" s="601" t="s">
        <v>1141</v>
      </c>
      <c r="F399" s="601" t="s">
        <v>551</v>
      </c>
      <c r="G399" s="601">
        <v>2496</v>
      </c>
      <c r="H399" s="601">
        <v>2496</v>
      </c>
      <c r="I399" s="601">
        <v>2496</v>
      </c>
      <c r="J399" s="601">
        <v>2496</v>
      </c>
      <c r="K399" s="601">
        <v>2496</v>
      </c>
      <c r="L399" s="601" t="s">
        <v>23</v>
      </c>
    </row>
    <row r="400" spans="1:12" hidden="1">
      <c r="A400" s="601" t="s">
        <v>1200</v>
      </c>
      <c r="B400" s="601" t="str">
        <f t="shared" si="6"/>
        <v xml:space="preserve">AMERICAN </v>
      </c>
      <c r="C400" s="601" t="str">
        <f>MID(Table3[[#This Row],[Statement Code]],FIND("- ",Table3[[#This Row],[Statement Code]])+2,100)</f>
        <v>COST OF GOODS SOLD (EXCL DEP)</v>
      </c>
      <c r="D400" s="602" t="s">
        <v>1201</v>
      </c>
      <c r="E400" s="601" t="s">
        <v>1141</v>
      </c>
      <c r="F400" s="601" t="s">
        <v>551</v>
      </c>
      <c r="G400" s="601">
        <v>2782739</v>
      </c>
      <c r="H400" s="601">
        <v>2607788</v>
      </c>
      <c r="I400" s="601">
        <v>3014625</v>
      </c>
      <c r="J400" s="601">
        <v>3238706</v>
      </c>
      <c r="K400" s="601">
        <v>3228077</v>
      </c>
      <c r="L400" s="601" t="s">
        <v>23</v>
      </c>
    </row>
    <row r="401" spans="1:12">
      <c r="A401" s="601" t="s">
        <v>1202</v>
      </c>
      <c r="B401" s="601" t="str">
        <f t="shared" si="6"/>
        <v xml:space="preserve">AMERICAN </v>
      </c>
      <c r="C401" s="601" t="str">
        <f>MID(Table3[[#This Row],[Statement Code]],FIND("- ",Table3[[#This Row],[Statement Code]])+2,100)</f>
        <v>CURRENT ASSETS - TOTAL</v>
      </c>
      <c r="D401" s="602" t="s">
        <v>1203</v>
      </c>
      <c r="E401" s="601" t="s">
        <v>1141</v>
      </c>
      <c r="F401" s="601" t="s">
        <v>551</v>
      </c>
      <c r="G401" s="601">
        <v>1047930</v>
      </c>
      <c r="H401" s="601">
        <v>1522643</v>
      </c>
      <c r="I401" s="601">
        <v>1396924</v>
      </c>
      <c r="J401" s="601">
        <v>1100241</v>
      </c>
      <c r="K401" s="601">
        <v>1433350</v>
      </c>
      <c r="L401" s="601" t="s">
        <v>23</v>
      </c>
    </row>
    <row r="402" spans="1:12">
      <c r="A402" s="601" t="s">
        <v>1204</v>
      </c>
      <c r="B402" s="601" t="str">
        <f t="shared" si="6"/>
        <v xml:space="preserve">AMERICAN </v>
      </c>
      <c r="C402" s="601" t="str">
        <f>MID(Table3[[#This Row],[Statement Code]],FIND("- ",Table3[[#This Row],[Statement Code]])+2,100)</f>
        <v>CURRENT LIABILITIES-TOTAL</v>
      </c>
      <c r="D402" s="602" t="s">
        <v>1205</v>
      </c>
      <c r="E402" s="601" t="s">
        <v>1141</v>
      </c>
      <c r="F402" s="601" t="s">
        <v>551</v>
      </c>
      <c r="G402" s="601">
        <v>751756</v>
      </c>
      <c r="H402" s="601">
        <v>858482</v>
      </c>
      <c r="I402" s="601">
        <v>842871</v>
      </c>
      <c r="J402" s="601">
        <v>768948</v>
      </c>
      <c r="K402" s="601">
        <v>891172</v>
      </c>
      <c r="L402" s="601" t="s">
        <v>23</v>
      </c>
    </row>
    <row r="403" spans="1:12" hidden="1">
      <c r="A403" s="601" t="s">
        <v>1206</v>
      </c>
      <c r="B403" s="601" t="str">
        <f t="shared" si="6"/>
        <v xml:space="preserve">AMERICAN </v>
      </c>
      <c r="C403" s="601" t="str">
        <f>MID(Table3[[#This Row],[Statement Code]],FIND("- ",Table3[[#This Row],[Statement Code]])+2,100)</f>
        <v>DEFERRED TAXES</v>
      </c>
      <c r="D403" s="602" t="s">
        <v>1207</v>
      </c>
      <c r="E403" s="601" t="s">
        <v>1141</v>
      </c>
      <c r="F403" s="601" t="s">
        <v>551</v>
      </c>
      <c r="G403" s="601">
        <v>-22724</v>
      </c>
      <c r="H403" s="601">
        <v>-33045</v>
      </c>
      <c r="I403" s="601">
        <v>-44167</v>
      </c>
      <c r="J403" s="601">
        <v>-36483</v>
      </c>
      <c r="K403" s="601">
        <v>-82064</v>
      </c>
      <c r="L403" s="601" t="s">
        <v>23</v>
      </c>
    </row>
    <row r="404" spans="1:12" hidden="1">
      <c r="A404" s="601" t="s">
        <v>1208</v>
      </c>
      <c r="B404" s="601" t="str">
        <f t="shared" si="6"/>
        <v xml:space="preserve">AMERICAN </v>
      </c>
      <c r="C404" s="601" t="str">
        <f>MID(Table3[[#This Row],[Statement Code]],FIND("- ",Table3[[#This Row],[Statement Code]])+2,100)</f>
        <v>DEPRECIATION AND DEPLETION</v>
      </c>
      <c r="D404" s="602" t="s">
        <v>1209</v>
      </c>
      <c r="E404" s="601" t="s">
        <v>1141</v>
      </c>
      <c r="F404" s="601" t="s">
        <v>551</v>
      </c>
      <c r="G404" s="601">
        <v>181379</v>
      </c>
      <c r="H404" s="601">
        <v>159413</v>
      </c>
      <c r="I404" s="601">
        <v>161492</v>
      </c>
      <c r="J404" s="601">
        <v>212499</v>
      </c>
      <c r="K404" s="601">
        <v>235213</v>
      </c>
      <c r="L404" s="601" t="s">
        <v>23</v>
      </c>
    </row>
    <row r="405" spans="1:12">
      <c r="A405" s="601" t="s">
        <v>1210</v>
      </c>
      <c r="B405" s="601" t="str">
        <f t="shared" si="6"/>
        <v xml:space="preserve">AMERICAN </v>
      </c>
      <c r="C405" s="601" t="str">
        <f>MID(Table3[[#This Row],[Statement Code]],FIND("- ",Table3[[#This Row],[Statement Code]])+2,100)</f>
        <v>DEPRECIATION/DEPLETION/AMORT</v>
      </c>
      <c r="D405" s="602" t="s">
        <v>1211</v>
      </c>
      <c r="E405" s="601" t="s">
        <v>1141</v>
      </c>
      <c r="F405" s="601" t="s">
        <v>551</v>
      </c>
      <c r="G405" s="601">
        <v>182222</v>
      </c>
      <c r="H405" s="601">
        <v>165580</v>
      </c>
      <c r="I405" s="601">
        <v>171151</v>
      </c>
      <c r="J405" s="601">
        <v>212776</v>
      </c>
      <c r="K405" s="601">
        <v>235981</v>
      </c>
      <c r="L405" s="601" t="s">
        <v>23</v>
      </c>
    </row>
    <row r="406" spans="1:12" hidden="1">
      <c r="A406" s="601" t="s">
        <v>1212</v>
      </c>
      <c r="B406" s="601" t="str">
        <f t="shared" si="6"/>
        <v xml:space="preserve">AMERICAN </v>
      </c>
      <c r="C406" s="601" t="str">
        <f>MID(Table3[[#This Row],[Statement Code]],FIND("- ",Table3[[#This Row],[Statement Code]])+2,100)</f>
        <v>DIVIDENDS PER SHARE</v>
      </c>
      <c r="D406" s="602" t="s">
        <v>1213</v>
      </c>
      <c r="E406" s="601" t="s">
        <v>1141</v>
      </c>
      <c r="F406" s="601" t="s">
        <v>551</v>
      </c>
      <c r="G406" s="601">
        <v>0.55000000000000004</v>
      </c>
      <c r="H406" s="601">
        <v>0.13700000000000001</v>
      </c>
      <c r="I406" s="601">
        <v>0.67700000000000005</v>
      </c>
      <c r="J406" s="601">
        <v>0.36</v>
      </c>
      <c r="K406" s="601">
        <v>0.42499999999999999</v>
      </c>
      <c r="L406" s="601" t="s">
        <v>23</v>
      </c>
    </row>
    <row r="407" spans="1:12" hidden="1">
      <c r="A407" s="601" t="s">
        <v>1214</v>
      </c>
      <c r="B407" s="601" t="str">
        <f t="shared" si="6"/>
        <v xml:space="preserve">AMERICAN </v>
      </c>
      <c r="C407" s="601" t="str">
        <f>MID(Table3[[#This Row],[Statement Code]],FIND("- ",Table3[[#This Row],[Statement Code]])+2,100)</f>
        <v>DIVIDENDS PER SHARE - FISCAL</v>
      </c>
      <c r="D407" s="602" t="s">
        <v>1215</v>
      </c>
      <c r="E407" s="601" t="s">
        <v>1141</v>
      </c>
      <c r="F407" s="601" t="s">
        <v>551</v>
      </c>
      <c r="G407" s="601">
        <v>0.55000000000000004</v>
      </c>
      <c r="H407" s="601">
        <v>0.13700000000000001</v>
      </c>
      <c r="I407" s="601">
        <v>0.67700000000000005</v>
      </c>
      <c r="J407" s="601">
        <v>0.36</v>
      </c>
      <c r="K407" s="601">
        <v>0.42499999999999999</v>
      </c>
      <c r="L407" s="601" t="s">
        <v>23</v>
      </c>
    </row>
    <row r="408" spans="1:12">
      <c r="A408" s="601" t="s">
        <v>1216</v>
      </c>
      <c r="B408" s="601" t="str">
        <f t="shared" si="6"/>
        <v xml:space="preserve">AMERICAN </v>
      </c>
      <c r="C408" s="601" t="str">
        <f>MID(Table3[[#This Row],[Statement Code]],FIND("- ",Table3[[#This Row],[Statement Code]])+2,100)</f>
        <v>EARNINGS BEF INTEREST &amp; TAXES</v>
      </c>
      <c r="D408" s="602" t="s">
        <v>1217</v>
      </c>
      <c r="E408" s="601" t="s">
        <v>1141</v>
      </c>
      <c r="F408" s="601" t="s">
        <v>551</v>
      </c>
      <c r="G408" s="601">
        <v>245278</v>
      </c>
      <c r="H408" s="601">
        <v>-243289</v>
      </c>
      <c r="I408" s="601">
        <v>627505</v>
      </c>
      <c r="J408" s="601">
        <v>200600</v>
      </c>
      <c r="K408" s="601">
        <v>239938</v>
      </c>
      <c r="L408" s="601" t="s">
        <v>23</v>
      </c>
    </row>
    <row r="409" spans="1:12" hidden="1">
      <c r="A409" s="601" t="s">
        <v>1218</v>
      </c>
      <c r="B409" s="601" t="str">
        <f t="shared" si="6"/>
        <v xml:space="preserve">AMERICAN </v>
      </c>
      <c r="C409" s="601" t="str">
        <f>MID(Table3[[#This Row],[Statement Code]],FIND("- ",Table3[[#This Row],[Statement Code]])+2,100)</f>
        <v>EBIT &amp; DEPRECIATION</v>
      </c>
      <c r="D409" s="602" t="s">
        <v>1219</v>
      </c>
      <c r="E409" s="601" t="s">
        <v>1141</v>
      </c>
      <c r="F409" s="601" t="s">
        <v>551</v>
      </c>
      <c r="G409" s="601">
        <v>427500</v>
      </c>
      <c r="H409" s="601">
        <v>-77709</v>
      </c>
      <c r="I409" s="601">
        <v>798656</v>
      </c>
      <c r="J409" s="601">
        <v>413376</v>
      </c>
      <c r="K409" s="601">
        <v>475919</v>
      </c>
      <c r="L409" s="601" t="s">
        <v>23</v>
      </c>
    </row>
    <row r="410" spans="1:12" hidden="1">
      <c r="A410" s="601" t="s">
        <v>1220</v>
      </c>
      <c r="B410" s="601" t="str">
        <f t="shared" si="6"/>
        <v xml:space="preserve">AMERICAN </v>
      </c>
      <c r="C410" s="601" t="str">
        <f>MID(Table3[[#This Row],[Statement Code]],FIND("- ",Table3[[#This Row],[Statement Code]])+2,100)</f>
        <v>EARNINGS PER SHARE</v>
      </c>
      <c r="D410" s="602" t="s">
        <v>1221</v>
      </c>
      <c r="E410" s="601" t="s">
        <v>1141</v>
      </c>
      <c r="F410" s="601" t="s">
        <v>551</v>
      </c>
      <c r="G410" s="601">
        <v>1.1140000000000001</v>
      </c>
      <c r="H410" s="601">
        <v>-1.2569999999999999</v>
      </c>
      <c r="I410" s="601">
        <v>2.032</v>
      </c>
      <c r="J410" s="601">
        <v>0.61</v>
      </c>
      <c r="K410" s="601">
        <v>0.86399999999999999</v>
      </c>
      <c r="L410" s="601" t="s">
        <v>23</v>
      </c>
    </row>
    <row r="411" spans="1:12" hidden="1">
      <c r="A411" s="601" t="s">
        <v>1222</v>
      </c>
      <c r="B411" s="601" t="str">
        <f t="shared" si="6"/>
        <v xml:space="preserve">AMERICAN </v>
      </c>
      <c r="C411" s="601" t="str">
        <f>MID(Table3[[#This Row],[Statement Code]],FIND("- ",Table3[[#This Row],[Statement Code]])+2,100)</f>
        <v>FISCAL EPS-FULLY DILUTED-YR</v>
      </c>
      <c r="D411" s="602" t="s">
        <v>1223</v>
      </c>
      <c r="E411" s="601" t="s">
        <v>1141</v>
      </c>
      <c r="F411" s="601" t="s">
        <v>551</v>
      </c>
      <c r="G411" s="601">
        <v>1.119</v>
      </c>
      <c r="H411" s="601">
        <v>-1.2569999999999999</v>
      </c>
      <c r="I411" s="601">
        <v>2.032</v>
      </c>
      <c r="J411" s="601">
        <v>0.61</v>
      </c>
      <c r="K411" s="601">
        <v>0.86399999999999999</v>
      </c>
      <c r="L411" s="601" t="s">
        <v>23</v>
      </c>
    </row>
    <row r="412" spans="1:12" hidden="1">
      <c r="A412" s="601" t="s">
        <v>1224</v>
      </c>
      <c r="B412" s="601" t="str">
        <f t="shared" si="6"/>
        <v xml:space="preserve">AMERICAN </v>
      </c>
      <c r="C412" s="601" t="str">
        <f>MID(Table3[[#This Row],[Statement Code]],FIND("- ",Table3[[#This Row],[Statement Code]])+2,100)</f>
        <v>ENTERPRISE VALUE</v>
      </c>
      <c r="D412" s="602" t="s">
        <v>1225</v>
      </c>
      <c r="E412" s="601" t="s">
        <v>1141</v>
      </c>
      <c r="F412" s="601" t="s">
        <v>551</v>
      </c>
      <c r="G412" s="601">
        <v>1987769</v>
      </c>
      <c r="H412" s="601">
        <v>3248954</v>
      </c>
      <c r="I412" s="601">
        <v>3694966</v>
      </c>
      <c r="J412" s="601">
        <v>3137602</v>
      </c>
      <c r="K412" s="601">
        <v>3643967</v>
      </c>
      <c r="L412" s="601" t="s">
        <v>23</v>
      </c>
    </row>
    <row r="413" spans="1:12">
      <c r="A413" s="601" t="s">
        <v>1226</v>
      </c>
      <c r="B413" s="601" t="str">
        <f t="shared" si="6"/>
        <v xml:space="preserve">AMERICAN </v>
      </c>
      <c r="C413" s="601" t="str">
        <f>MID(Table3[[#This Row],[Statement Code]],FIND("- ",Table3[[#This Row],[Statement Code]])+2,100)</f>
        <v>GROSS INCOME</v>
      </c>
      <c r="D413" s="602" t="s">
        <v>1227</v>
      </c>
      <c r="E413" s="601" t="s">
        <v>1141</v>
      </c>
      <c r="F413" s="601" t="s">
        <v>551</v>
      </c>
      <c r="G413" s="601">
        <v>1343251</v>
      </c>
      <c r="H413" s="601">
        <v>985745</v>
      </c>
      <c r="I413" s="601">
        <v>1825009</v>
      </c>
      <c r="J413" s="601">
        <v>1538351</v>
      </c>
      <c r="K413" s="601">
        <v>1797712</v>
      </c>
      <c r="L413" s="601" t="s">
        <v>23</v>
      </c>
    </row>
    <row r="414" spans="1:12" hidden="1">
      <c r="A414" s="601" t="s">
        <v>1228</v>
      </c>
      <c r="B414" s="601" t="str">
        <f t="shared" si="6"/>
        <v xml:space="preserve">AMERICAN </v>
      </c>
      <c r="C414" s="601" t="str">
        <f>MID(Table3[[#This Row],[Statement Code]],FIND("- ",Table3[[#This Row],[Statement Code]])+2,100)</f>
        <v>IMPAIRMENT OF GOODWILL</v>
      </c>
      <c r="D414" s="602" t="s">
        <v>1229</v>
      </c>
      <c r="E414" s="601" t="s">
        <v>1141</v>
      </c>
      <c r="F414" s="601" t="s">
        <v>551</v>
      </c>
      <c r="G414" s="601" t="s">
        <v>23</v>
      </c>
      <c r="H414" s="601" t="s">
        <v>23</v>
      </c>
      <c r="I414" s="601" t="s">
        <v>23</v>
      </c>
      <c r="J414" s="601" t="s">
        <v>23</v>
      </c>
      <c r="K414" s="601">
        <v>39600</v>
      </c>
      <c r="L414" s="601" t="s">
        <v>23</v>
      </c>
    </row>
    <row r="415" spans="1:12" hidden="1">
      <c r="A415" s="601" t="s">
        <v>1230</v>
      </c>
      <c r="B415" s="601" t="str">
        <f t="shared" si="6"/>
        <v xml:space="preserve">AMERICAN </v>
      </c>
      <c r="C415" s="601" t="str">
        <f>MID(Table3[[#This Row],[Statement Code]],FIND("- ",Table3[[#This Row],[Statement Code]])+2,100)</f>
        <v>IMPAIRMENT- OTHER INTANGIBLES</v>
      </c>
      <c r="D415" s="602" t="s">
        <v>1231</v>
      </c>
      <c r="E415" s="601" t="s">
        <v>1141</v>
      </c>
      <c r="F415" s="601" t="s">
        <v>551</v>
      </c>
      <c r="G415" s="601" t="s">
        <v>23</v>
      </c>
      <c r="H415" s="601" t="s">
        <v>23</v>
      </c>
      <c r="I415" s="601" t="s">
        <v>23</v>
      </c>
      <c r="J415" s="601" t="s">
        <v>23</v>
      </c>
      <c r="K415" s="601">
        <v>40500</v>
      </c>
      <c r="L415" s="601" t="s">
        <v>23</v>
      </c>
    </row>
    <row r="416" spans="1:12">
      <c r="A416" s="601" t="s">
        <v>1232</v>
      </c>
      <c r="B416" s="601" t="str">
        <f t="shared" si="6"/>
        <v xml:space="preserve">AMERICAN </v>
      </c>
      <c r="C416" s="601" t="str">
        <f>MID(Table3[[#This Row],[Statement Code]],FIND("- ",Table3[[#This Row],[Statement Code]])+2,100)</f>
        <v>INCOME TAXES</v>
      </c>
      <c r="D416" s="602" t="s">
        <v>1233</v>
      </c>
      <c r="E416" s="601" t="s">
        <v>1141</v>
      </c>
      <c r="F416" s="601" t="s">
        <v>551</v>
      </c>
      <c r="G416" s="601">
        <v>54021</v>
      </c>
      <c r="H416" s="601">
        <v>-82999</v>
      </c>
      <c r="I416" s="601">
        <v>139293</v>
      </c>
      <c r="J416" s="601">
        <v>53358</v>
      </c>
      <c r="K416" s="601">
        <v>69820</v>
      </c>
      <c r="L416" s="601" t="s">
        <v>23</v>
      </c>
    </row>
    <row r="417" spans="1:12" hidden="1">
      <c r="A417" s="601" t="s">
        <v>1234</v>
      </c>
      <c r="B417" s="601" t="str">
        <f t="shared" si="6"/>
        <v xml:space="preserve">AMERICAN </v>
      </c>
      <c r="C417" s="601" t="str">
        <f>MID(Table3[[#This Row],[Statement Code]],FIND("- ",Table3[[#This Row],[Statement Code]])+2,100)</f>
        <v>INCREASE/DECREASE IN CASH/SHOR</v>
      </c>
      <c r="D417" s="602" t="s">
        <v>1235</v>
      </c>
      <c r="E417" s="601" t="s">
        <v>1141</v>
      </c>
      <c r="F417" s="601" t="s">
        <v>551</v>
      </c>
      <c r="G417" s="601">
        <v>28600</v>
      </c>
      <c r="H417" s="601">
        <v>488547</v>
      </c>
      <c r="I417" s="601">
        <v>-415707</v>
      </c>
      <c r="J417" s="601">
        <v>-264561</v>
      </c>
      <c r="K417" s="601">
        <v>183885</v>
      </c>
      <c r="L417" s="601" t="s">
        <v>23</v>
      </c>
    </row>
    <row r="418" spans="1:12">
      <c r="A418" s="601" t="s">
        <v>1236</v>
      </c>
      <c r="B418" s="601" t="str">
        <f t="shared" si="6"/>
        <v xml:space="preserve">AMERICAN </v>
      </c>
      <c r="C418" s="601" t="str">
        <f>MID(Table3[[#This Row],[Statement Code]],FIND("- ",Table3[[#This Row],[Statement Code]])+2,100)</f>
        <v>INTEREST EXPENSE ON DEBT</v>
      </c>
      <c r="D418" s="602" t="s">
        <v>1237</v>
      </c>
      <c r="E418" s="601" t="s">
        <v>1141</v>
      </c>
      <c r="F418" s="601" t="s">
        <v>551</v>
      </c>
      <c r="G418" s="601">
        <v>0</v>
      </c>
      <c r="H418" s="601">
        <v>48984</v>
      </c>
      <c r="I418" s="601">
        <v>68583</v>
      </c>
      <c r="J418" s="601">
        <v>22106</v>
      </c>
      <c r="K418" s="601">
        <v>80</v>
      </c>
      <c r="L418" s="601" t="s">
        <v>23</v>
      </c>
    </row>
    <row r="419" spans="1:12" hidden="1">
      <c r="A419" s="601" t="s">
        <v>1238</v>
      </c>
      <c r="B419" s="601" t="str">
        <f t="shared" si="6"/>
        <v xml:space="preserve">AMERICAN </v>
      </c>
      <c r="C419" s="601" t="str">
        <f>MID(Table3[[#This Row],[Statement Code]],FIND("- ",Table3[[#This Row],[Statement Code]])+2,100)</f>
        <v>TOTAL INVENTORIES</v>
      </c>
      <c r="D419" s="602" t="s">
        <v>1239</v>
      </c>
      <c r="E419" s="601" t="s">
        <v>1141</v>
      </c>
      <c r="F419" s="601" t="s">
        <v>551</v>
      </c>
      <c r="G419" s="601">
        <v>446278</v>
      </c>
      <c r="H419" s="601">
        <v>405445</v>
      </c>
      <c r="I419" s="601">
        <v>553458</v>
      </c>
      <c r="J419" s="601">
        <v>585083</v>
      </c>
      <c r="K419" s="601">
        <v>640662</v>
      </c>
      <c r="L419" s="601" t="s">
        <v>23</v>
      </c>
    </row>
    <row r="420" spans="1:12">
      <c r="A420" s="601" t="s">
        <v>1240</v>
      </c>
      <c r="B420" s="601" t="str">
        <f t="shared" si="6"/>
        <v xml:space="preserve">AMERICAN </v>
      </c>
      <c r="C420" s="601" t="str">
        <f>MID(Table3[[#This Row],[Statement Code]],FIND("- ",Table3[[#This Row],[Statement Code]])+2,100)</f>
        <v>LONG TERM DEBT</v>
      </c>
      <c r="D420" s="602" t="s">
        <v>1241</v>
      </c>
      <c r="E420" s="601" t="s">
        <v>1141</v>
      </c>
      <c r="F420" s="601" t="s">
        <v>551</v>
      </c>
      <c r="G420" s="601">
        <v>0</v>
      </c>
      <c r="H420" s="601">
        <v>325290</v>
      </c>
      <c r="I420" s="601">
        <v>350878</v>
      </c>
      <c r="J420" s="601">
        <v>253109</v>
      </c>
      <c r="K420" s="601">
        <v>0</v>
      </c>
      <c r="L420" s="601" t="s">
        <v>23</v>
      </c>
    </row>
    <row r="421" spans="1:12" hidden="1">
      <c r="A421" s="601" t="s">
        <v>1242</v>
      </c>
      <c r="B421" s="601" t="str">
        <f t="shared" si="6"/>
        <v xml:space="preserve">AMERICAN </v>
      </c>
      <c r="C421" s="601" t="str">
        <f>MID(Table3[[#This Row],[Statement Code]],FIND("- ",Table3[[#This Row],[Statement Code]])+2,100)</f>
        <v>MARKET CAPITALIZATION</v>
      </c>
      <c r="D421" s="602" t="s">
        <v>1243</v>
      </c>
      <c r="E421" s="601" t="s">
        <v>1141</v>
      </c>
      <c r="F421" s="601" t="s">
        <v>551</v>
      </c>
      <c r="G421" s="601">
        <v>2454797</v>
      </c>
      <c r="H421" s="601">
        <v>3338343</v>
      </c>
      <c r="I421" s="601">
        <v>4271459</v>
      </c>
      <c r="J421" s="601">
        <v>2723093</v>
      </c>
      <c r="K421" s="601">
        <v>4167166</v>
      </c>
      <c r="L421" s="601" t="s">
        <v>23</v>
      </c>
    </row>
    <row r="422" spans="1:12" hidden="1">
      <c r="A422" s="601" t="s">
        <v>1244</v>
      </c>
      <c r="B422" s="601" t="str">
        <f t="shared" si="6"/>
        <v xml:space="preserve">AMERICAN </v>
      </c>
      <c r="C422" s="601" t="str">
        <f>MID(Table3[[#This Row],[Statement Code]],FIND("- ",Table3[[#This Row],[Statement Code]])+2,100)</f>
        <v>NET CASH FLOW - FINANCING</v>
      </c>
      <c r="D422" s="602" t="s">
        <v>1245</v>
      </c>
      <c r="E422" s="601" t="s">
        <v>1141</v>
      </c>
      <c r="F422" s="601" t="s">
        <v>551</v>
      </c>
      <c r="G422" s="601">
        <v>-211226</v>
      </c>
      <c r="H422" s="601">
        <v>359907</v>
      </c>
      <c r="I422" s="601">
        <v>-125197</v>
      </c>
      <c r="J422" s="601">
        <v>-407893</v>
      </c>
      <c r="K422" s="601">
        <v>-109474</v>
      </c>
      <c r="L422" s="601" t="s">
        <v>23</v>
      </c>
    </row>
    <row r="423" spans="1:12" hidden="1">
      <c r="A423" s="601" t="s">
        <v>1246</v>
      </c>
      <c r="B423" s="601" t="str">
        <f t="shared" si="6"/>
        <v xml:space="preserve">AMERICAN </v>
      </c>
      <c r="C423" s="601" t="str">
        <f>MID(Table3[[#This Row],[Statement Code]],FIND("- ",Table3[[#This Row],[Statement Code]])+2,100)</f>
        <v>NET CASH FLOW - INVESTING</v>
      </c>
      <c r="D423" s="602" t="s">
        <v>1247</v>
      </c>
      <c r="E423" s="601" t="s">
        <v>1141</v>
      </c>
      <c r="F423" s="601" t="s">
        <v>551</v>
      </c>
      <c r="G423" s="601">
        <v>174894</v>
      </c>
      <c r="H423" s="601">
        <v>73945</v>
      </c>
      <c r="I423" s="601">
        <v>594601</v>
      </c>
      <c r="J423" s="601">
        <v>261375</v>
      </c>
      <c r="K423" s="601">
        <v>287432</v>
      </c>
      <c r="L423" s="601" t="s">
        <v>23</v>
      </c>
    </row>
    <row r="424" spans="1:12" hidden="1">
      <c r="A424" s="601" t="s">
        <v>1248</v>
      </c>
      <c r="B424" s="601" t="str">
        <f t="shared" si="6"/>
        <v xml:space="preserve">AMERICAN </v>
      </c>
      <c r="C424" s="601" t="str">
        <f>MID(Table3[[#This Row],[Statement Code]],FIND("- ",Table3[[#This Row],[Statement Code]])+2,100)</f>
        <v>NET CASH FLOW-OPERATING ACTIVS</v>
      </c>
      <c r="D424" s="602" t="s">
        <v>1249</v>
      </c>
      <c r="E424" s="601" t="s">
        <v>1141</v>
      </c>
      <c r="F424" s="601" t="s">
        <v>551</v>
      </c>
      <c r="G424" s="601">
        <v>415416</v>
      </c>
      <c r="H424" s="601">
        <v>202498</v>
      </c>
      <c r="I424" s="601">
        <v>303671</v>
      </c>
      <c r="J424" s="601">
        <v>406296</v>
      </c>
      <c r="K424" s="601">
        <v>580710</v>
      </c>
      <c r="L424" s="601" t="s">
        <v>23</v>
      </c>
    </row>
    <row r="425" spans="1:12" hidden="1">
      <c r="A425" s="601" t="s">
        <v>1250</v>
      </c>
      <c r="B425" s="601" t="str">
        <f t="shared" si="6"/>
        <v xml:space="preserve">AMERICAN </v>
      </c>
      <c r="C425" s="601" t="str">
        <f>MID(Table3[[#This Row],[Statement Code]],FIND("- ",Table3[[#This Row],[Statement Code]])+2,100)</f>
        <v>NET DEBT</v>
      </c>
      <c r="D425" s="602" t="s">
        <v>1251</v>
      </c>
      <c r="E425" s="601" t="s">
        <v>1141</v>
      </c>
      <c r="F425" s="601" t="s">
        <v>551</v>
      </c>
      <c r="G425" s="601">
        <v>-416930</v>
      </c>
      <c r="H425" s="601">
        <v>-525187</v>
      </c>
      <c r="I425" s="601">
        <v>-83892</v>
      </c>
      <c r="J425" s="601">
        <v>82900</v>
      </c>
      <c r="K425" s="601">
        <v>-446394</v>
      </c>
      <c r="L425" s="601" t="s">
        <v>23</v>
      </c>
    </row>
    <row r="426" spans="1:12">
      <c r="A426" s="601" t="s">
        <v>1252</v>
      </c>
      <c r="B426" s="601" t="str">
        <f t="shared" si="6"/>
        <v xml:space="preserve">AMERICAN </v>
      </c>
      <c r="C426" s="601" t="str">
        <f>MID(Table3[[#This Row],[Statement Code]],FIND("- ",Table3[[#This Row],[Statement Code]])+2,100)</f>
        <v>NET INCOME - DILUTED</v>
      </c>
      <c r="D426" s="602" t="s">
        <v>1253</v>
      </c>
      <c r="E426" s="601" t="s">
        <v>1141</v>
      </c>
      <c r="F426" s="601" t="s">
        <v>551</v>
      </c>
      <c r="G426" s="601">
        <v>191257</v>
      </c>
      <c r="H426" s="601">
        <v>-209274</v>
      </c>
      <c r="I426" s="601">
        <v>419629</v>
      </c>
      <c r="J426" s="601">
        <v>125136</v>
      </c>
      <c r="K426" s="601">
        <v>170038</v>
      </c>
      <c r="L426" s="601" t="s">
        <v>23</v>
      </c>
    </row>
    <row r="427" spans="1:12">
      <c r="A427" s="601" t="s">
        <v>1254</v>
      </c>
      <c r="B427" s="601" t="str">
        <f t="shared" si="6"/>
        <v xml:space="preserve">AMERICAN </v>
      </c>
      <c r="C427" s="601" t="str">
        <f>MID(Table3[[#This Row],[Statement Code]],FIND("- ",Table3[[#This Row],[Statement Code]])+2,100)</f>
        <v>NET SALES OR REVENUES</v>
      </c>
      <c r="D427" s="602" t="s">
        <v>1255</v>
      </c>
      <c r="E427" s="601" t="s">
        <v>1141</v>
      </c>
      <c r="F427" s="601" t="s">
        <v>551</v>
      </c>
      <c r="G427" s="601">
        <v>4308212</v>
      </c>
      <c r="H427" s="601">
        <v>3759113</v>
      </c>
      <c r="I427" s="601">
        <v>5010785</v>
      </c>
      <c r="J427" s="601">
        <v>4989833</v>
      </c>
      <c r="K427" s="601">
        <v>5261770</v>
      </c>
      <c r="L427" s="601" t="s">
        <v>23</v>
      </c>
    </row>
    <row r="428" spans="1:12" hidden="1">
      <c r="A428" s="601" t="s">
        <v>1256</v>
      </c>
      <c r="B428" s="601" t="str">
        <f t="shared" si="6"/>
        <v xml:space="preserve">AMERICAN </v>
      </c>
      <c r="C428" s="601" t="str">
        <f>MID(Table3[[#This Row],[Statement Code]],FIND("- ",Table3[[#This Row],[Statement Code]])+2,100)</f>
        <v>NON-OPERATING INTEREST INCOME</v>
      </c>
      <c r="D428" s="602" t="s">
        <v>1257</v>
      </c>
      <c r="E428" s="601" t="s">
        <v>1141</v>
      </c>
      <c r="F428" s="601" t="s">
        <v>551</v>
      </c>
      <c r="G428" s="601">
        <v>6202</v>
      </c>
      <c r="H428" s="601" t="s">
        <v>23</v>
      </c>
      <c r="I428" s="601" t="s">
        <v>23</v>
      </c>
      <c r="J428" s="601" t="s">
        <v>23</v>
      </c>
      <c r="K428" s="601">
        <v>6190</v>
      </c>
      <c r="L428" s="601" t="s">
        <v>23</v>
      </c>
    </row>
    <row r="429" spans="1:12" hidden="1">
      <c r="A429" s="601" t="s">
        <v>1258</v>
      </c>
      <c r="B429" s="601" t="str">
        <f t="shared" si="6"/>
        <v xml:space="preserve">AMERICAN </v>
      </c>
      <c r="C429" s="601" t="str">
        <f>MID(Table3[[#This Row],[Statement Code]],FIND("- ",Table3[[#This Row],[Statement Code]])+2,100)</f>
        <v>OPERATING EXPENSES - TOTAL</v>
      </c>
      <c r="D429" s="602" t="s">
        <v>1259</v>
      </c>
      <c r="E429" s="601" t="s">
        <v>1141</v>
      </c>
      <c r="F429" s="601" t="s">
        <v>551</v>
      </c>
      <c r="G429" s="601">
        <v>3994373</v>
      </c>
      <c r="H429" s="601">
        <v>3750632</v>
      </c>
      <c r="I429" s="601">
        <v>4407776</v>
      </c>
      <c r="J429" s="601">
        <v>4720577</v>
      </c>
      <c r="K429" s="601">
        <v>4897358</v>
      </c>
      <c r="L429" s="601" t="s">
        <v>23</v>
      </c>
    </row>
    <row r="430" spans="1:12">
      <c r="A430" s="601" t="s">
        <v>1260</v>
      </c>
      <c r="B430" s="601" t="str">
        <f t="shared" si="6"/>
        <v xml:space="preserve">AMERICAN </v>
      </c>
      <c r="C430" s="601" t="str">
        <f>MID(Table3[[#This Row],[Statement Code]],FIND("- ",Table3[[#This Row],[Statement Code]])+2,100)</f>
        <v>OPERATING INCOME</v>
      </c>
      <c r="D430" s="602" t="s">
        <v>1261</v>
      </c>
      <c r="E430" s="601" t="s">
        <v>1141</v>
      </c>
      <c r="F430" s="601" t="s">
        <v>551</v>
      </c>
      <c r="G430" s="601">
        <v>313839</v>
      </c>
      <c r="H430" s="601">
        <v>8481</v>
      </c>
      <c r="I430" s="601">
        <v>603009</v>
      </c>
      <c r="J430" s="601">
        <v>269256</v>
      </c>
      <c r="K430" s="601">
        <v>364412</v>
      </c>
      <c r="L430" s="601" t="s">
        <v>23</v>
      </c>
    </row>
    <row r="431" spans="1:12" hidden="1">
      <c r="A431" s="601" t="s">
        <v>1262</v>
      </c>
      <c r="B431" s="601" t="str">
        <f t="shared" si="6"/>
        <v xml:space="preserve">AMERICAN </v>
      </c>
      <c r="C431" s="601" t="str">
        <f>MID(Table3[[#This Row],[Statement Code]],FIND("- ",Table3[[#This Row],[Statement Code]])+2,100)</f>
        <v>PRETAX INCOME</v>
      </c>
      <c r="D431" s="602" t="s">
        <v>1263</v>
      </c>
      <c r="E431" s="601" t="s">
        <v>1141</v>
      </c>
      <c r="F431" s="601" t="s">
        <v>551</v>
      </c>
      <c r="G431" s="601">
        <v>245278</v>
      </c>
      <c r="H431" s="601">
        <v>-292273</v>
      </c>
      <c r="I431" s="601">
        <v>558922</v>
      </c>
      <c r="J431" s="601">
        <v>178494</v>
      </c>
      <c r="K431" s="601">
        <v>239858</v>
      </c>
      <c r="L431" s="601" t="s">
        <v>23</v>
      </c>
    </row>
    <row r="432" spans="1:12" hidden="1">
      <c r="A432" s="601" t="s">
        <v>1264</v>
      </c>
      <c r="B432" s="601" t="str">
        <f t="shared" si="6"/>
        <v xml:space="preserve">AMERICAN </v>
      </c>
      <c r="C432" s="601" t="str">
        <f>MID(Table3[[#This Row],[Statement Code]],FIND("- ",Table3[[#This Row],[Statement Code]])+2,100)</f>
        <v>PROPERTY, PLANT &amp; EQUIP - NET</v>
      </c>
      <c r="D432" s="602" t="s">
        <v>1265</v>
      </c>
      <c r="E432" s="601" t="s">
        <v>1141</v>
      </c>
      <c r="F432" s="601" t="s">
        <v>551</v>
      </c>
      <c r="G432" s="601">
        <v>2154036</v>
      </c>
      <c r="H432" s="601">
        <v>1779773</v>
      </c>
      <c r="I432" s="601">
        <v>1921293</v>
      </c>
      <c r="J432" s="601">
        <v>1868513</v>
      </c>
      <c r="K432" s="601">
        <v>1718629</v>
      </c>
      <c r="L432" s="601" t="s">
        <v>23</v>
      </c>
    </row>
    <row r="433" spans="1:12" hidden="1">
      <c r="A433" s="601" t="s">
        <v>1266</v>
      </c>
      <c r="B433" s="601" t="str">
        <f t="shared" si="6"/>
        <v xml:space="preserve">AMERICAN </v>
      </c>
      <c r="C433" s="601" t="str">
        <f>MID(Table3[[#This Row],[Statement Code]],FIND("- ",Table3[[#This Row],[Statement Code]])+2,100)</f>
        <v>RECEIVABLES(NET)</v>
      </c>
      <c r="D433" s="602" t="s">
        <v>1267</v>
      </c>
      <c r="E433" s="601" t="s">
        <v>1141</v>
      </c>
      <c r="F433" s="601" t="s">
        <v>551</v>
      </c>
      <c r="G433" s="601">
        <v>119064</v>
      </c>
      <c r="H433" s="601">
        <v>146102</v>
      </c>
      <c r="I433" s="601">
        <v>286683</v>
      </c>
      <c r="J433" s="601">
        <v>242386</v>
      </c>
      <c r="K433" s="601">
        <v>247934</v>
      </c>
      <c r="L433" s="601" t="s">
        <v>23</v>
      </c>
    </row>
    <row r="434" spans="1:12">
      <c r="A434" s="601" t="s">
        <v>1268</v>
      </c>
      <c r="B434" s="601" t="str">
        <f t="shared" si="6"/>
        <v xml:space="preserve">AMERICAN </v>
      </c>
      <c r="C434" s="601" t="str">
        <f>MID(Table3[[#This Row],[Statement Code]],FIND("- ",Table3[[#This Row],[Statement Code]])+2,100)</f>
        <v>SELLING, GENERAL &amp; ADMINISTRAT</v>
      </c>
      <c r="D434" s="602" t="s">
        <v>1269</v>
      </c>
      <c r="E434" s="601" t="s">
        <v>1141</v>
      </c>
      <c r="F434" s="601" t="s">
        <v>551</v>
      </c>
      <c r="G434" s="601">
        <v>1029412</v>
      </c>
      <c r="H434" s="601">
        <v>977264</v>
      </c>
      <c r="I434" s="601">
        <v>1222000</v>
      </c>
      <c r="J434" s="601">
        <v>1269095</v>
      </c>
      <c r="K434" s="601">
        <v>1433300</v>
      </c>
      <c r="L434" s="601" t="s">
        <v>23</v>
      </c>
    </row>
    <row r="435" spans="1:12" hidden="1">
      <c r="A435" s="601" t="s">
        <v>1270</v>
      </c>
      <c r="B435" s="601" t="str">
        <f t="shared" si="6"/>
        <v xml:space="preserve">AMERICAN </v>
      </c>
      <c r="C435" s="601" t="str">
        <f>MID(Table3[[#This Row],[Statement Code]],FIND("- ",Table3[[#This Row],[Statement Code]])+2,100)</f>
        <v>SHORT TERM DEBT &amp; CURRENT PORT</v>
      </c>
      <c r="D435" s="602" t="s">
        <v>1271</v>
      </c>
      <c r="E435" s="601" t="s">
        <v>1141</v>
      </c>
      <c r="F435" s="601" t="s">
        <v>551</v>
      </c>
      <c r="G435" s="601">
        <v>0</v>
      </c>
      <c r="H435" s="601">
        <v>0</v>
      </c>
      <c r="I435" s="601">
        <v>0</v>
      </c>
      <c r="J435" s="601">
        <v>0</v>
      </c>
      <c r="K435" s="601">
        <v>7700</v>
      </c>
      <c r="L435" s="601" t="s">
        <v>23</v>
      </c>
    </row>
    <row r="436" spans="1:12">
      <c r="A436" s="601" t="s">
        <v>1272</v>
      </c>
      <c r="B436" s="601" t="str">
        <f t="shared" si="6"/>
        <v xml:space="preserve">AMERICAN </v>
      </c>
      <c r="C436" s="601" t="str">
        <f>MID(Table3[[#This Row],[Statement Code]],FIND("- ",Table3[[#This Row],[Statement Code]])+2,100)</f>
        <v>TOTAL ASSETS</v>
      </c>
      <c r="D436" s="602" t="s">
        <v>1273</v>
      </c>
      <c r="E436" s="601" t="s">
        <v>1141</v>
      </c>
      <c r="F436" s="601" t="s">
        <v>551</v>
      </c>
      <c r="G436" s="601">
        <v>3305955</v>
      </c>
      <c r="H436" s="601">
        <v>3401761</v>
      </c>
      <c r="I436" s="601">
        <v>3742476</v>
      </c>
      <c r="J436" s="601">
        <v>3384473</v>
      </c>
      <c r="K436" s="601">
        <v>3475845</v>
      </c>
      <c r="L436" s="601" t="s">
        <v>23</v>
      </c>
    </row>
    <row r="437" spans="1:12" hidden="1">
      <c r="A437" s="601" t="s">
        <v>1274</v>
      </c>
      <c r="B437" s="601" t="str">
        <f t="shared" si="6"/>
        <v xml:space="preserve">AMERICAN </v>
      </c>
      <c r="C437" s="601" t="str">
        <f>MID(Table3[[#This Row],[Statement Code]],FIND("- ",Table3[[#This Row],[Statement Code]])+2,100)</f>
        <v>TOTAL CAPITAL</v>
      </c>
      <c r="D437" s="602" t="s">
        <v>1275</v>
      </c>
      <c r="E437" s="601" t="s">
        <v>1141</v>
      </c>
      <c r="F437" s="601" t="s">
        <v>551</v>
      </c>
      <c r="G437" s="601">
        <v>1247853</v>
      </c>
      <c r="H437" s="601">
        <v>1411955</v>
      </c>
      <c r="I437" s="601">
        <v>1764674</v>
      </c>
      <c r="J437" s="601">
        <v>1608074</v>
      </c>
      <c r="K437" s="601">
        <v>1736759</v>
      </c>
      <c r="L437" s="601" t="s">
        <v>23</v>
      </c>
    </row>
    <row r="438" spans="1:12">
      <c r="A438" s="601" t="s">
        <v>1276</v>
      </c>
      <c r="B438" s="601" t="str">
        <f t="shared" si="6"/>
        <v xml:space="preserve">AMERICAN </v>
      </c>
      <c r="C438" s="601" t="str">
        <f>MID(Table3[[#This Row],[Statement Code]],FIND("- ",Table3[[#This Row],[Statement Code]])+2,100)</f>
        <v>TOTAL DEBT</v>
      </c>
      <c r="D438" s="602" t="s">
        <v>1277</v>
      </c>
      <c r="E438" s="601" t="s">
        <v>1141</v>
      </c>
      <c r="F438" s="601" t="s">
        <v>551</v>
      </c>
      <c r="G438" s="601">
        <v>0</v>
      </c>
      <c r="H438" s="601">
        <v>325290</v>
      </c>
      <c r="I438" s="601">
        <v>350878</v>
      </c>
      <c r="J438" s="601">
        <v>253109</v>
      </c>
      <c r="K438" s="601">
        <v>7700</v>
      </c>
      <c r="L438" s="601" t="s">
        <v>23</v>
      </c>
    </row>
    <row r="439" spans="1:12" hidden="1">
      <c r="A439" s="601" t="s">
        <v>1278</v>
      </c>
      <c r="B439" s="601" t="str">
        <f t="shared" si="6"/>
        <v xml:space="preserve">AMERICAN </v>
      </c>
      <c r="C439" s="601" t="str">
        <f>MID(Table3[[#This Row],[Statement Code]],FIND("- ",Table3[[#This Row],[Statement Code]])+2,100)</f>
        <v>TOTAL INTANGIBLE OT ASSETS-NET</v>
      </c>
      <c r="D439" s="602" t="s">
        <v>1279</v>
      </c>
      <c r="E439" s="601" t="s">
        <v>1141</v>
      </c>
      <c r="F439" s="601" t="s">
        <v>551</v>
      </c>
      <c r="G439" s="601">
        <v>53004</v>
      </c>
      <c r="H439" s="601">
        <v>70332</v>
      </c>
      <c r="I439" s="601">
        <v>374117</v>
      </c>
      <c r="J439" s="601">
        <v>359481</v>
      </c>
      <c r="K439" s="601">
        <v>271412</v>
      </c>
      <c r="L439" s="601" t="s">
        <v>23</v>
      </c>
    </row>
    <row r="440" spans="1:12">
      <c r="A440" s="601" t="s">
        <v>1280</v>
      </c>
      <c r="B440" s="601" t="str">
        <f t="shared" si="6"/>
        <v xml:space="preserve">AMERICAN </v>
      </c>
      <c r="C440" s="601" t="str">
        <f>MID(Table3[[#This Row],[Statement Code]],FIND("- ",Table3[[#This Row],[Statement Code]])+2,100)</f>
        <v>TOTAL LIABILITIES</v>
      </c>
      <c r="D440" s="602" t="s">
        <v>1281</v>
      </c>
      <c r="E440" s="601" t="s">
        <v>1141</v>
      </c>
      <c r="F440" s="601" t="s">
        <v>551</v>
      </c>
      <c r="G440" s="601">
        <v>2058102</v>
      </c>
      <c r="H440" s="601">
        <v>2315096</v>
      </c>
      <c r="I440" s="601">
        <v>2328680</v>
      </c>
      <c r="J440" s="601">
        <v>2029508</v>
      </c>
      <c r="K440" s="601">
        <v>1739086</v>
      </c>
      <c r="L440" s="601" t="s">
        <v>23</v>
      </c>
    </row>
    <row r="441" spans="1:12" hidden="1">
      <c r="A441" s="601" t="s">
        <v>1282</v>
      </c>
      <c r="B441" s="601" t="str">
        <f t="shared" si="6"/>
        <v xml:space="preserve">AMERICAN </v>
      </c>
      <c r="C441" s="601" t="str">
        <f>MID(Table3[[#This Row],[Statement Code]],FIND("- ",Table3[[#This Row],[Statement Code]])+2,100)</f>
        <v>TOTAL LIABILITIES &amp; SHAREHOLDE</v>
      </c>
      <c r="D441" s="602" t="s">
        <v>1283</v>
      </c>
      <c r="E441" s="601" t="s">
        <v>1141</v>
      </c>
      <c r="F441" s="601" t="s">
        <v>551</v>
      </c>
      <c r="G441" s="601">
        <v>3305955</v>
      </c>
      <c r="H441" s="601">
        <v>3401761</v>
      </c>
      <c r="I441" s="601">
        <v>3742476</v>
      </c>
      <c r="J441" s="601">
        <v>3384473</v>
      </c>
      <c r="K441" s="601">
        <v>3475845</v>
      </c>
      <c r="L441" s="601" t="s">
        <v>23</v>
      </c>
    </row>
    <row r="442" spans="1:12" hidden="1">
      <c r="A442" s="601" t="s">
        <v>1284</v>
      </c>
      <c r="B442" s="601" t="str">
        <f t="shared" si="6"/>
        <v xml:space="preserve">AMERICAN </v>
      </c>
      <c r="C442" s="601" t="str">
        <f>MID(Table3[[#This Row],[Statement Code]],FIND("- ",Table3[[#This Row],[Statement Code]])+2,100)</f>
        <v>TOTAL SHAREHOLDERS EQUITY</v>
      </c>
      <c r="D442" s="602" t="s">
        <v>1285</v>
      </c>
      <c r="E442" s="601" t="s">
        <v>1141</v>
      </c>
      <c r="F442" s="601" t="s">
        <v>551</v>
      </c>
      <c r="G442" s="601">
        <v>1247853</v>
      </c>
      <c r="H442" s="601">
        <v>1086665</v>
      </c>
      <c r="I442" s="601">
        <v>1413796</v>
      </c>
      <c r="J442" s="601">
        <v>1354965</v>
      </c>
      <c r="K442" s="601">
        <v>1736759</v>
      </c>
      <c r="L442" s="601" t="s">
        <v>23</v>
      </c>
    </row>
    <row r="443" spans="1:12" hidden="1">
      <c r="A443" s="601" t="s">
        <v>1286</v>
      </c>
      <c r="B443" s="601" t="str">
        <f t="shared" si="6"/>
        <v xml:space="preserve">AMERICAN </v>
      </c>
      <c r="C443" s="601" t="str">
        <f>MID(Table3[[#This Row],[Statement Code]],FIND("- ",Table3[[#This Row],[Statement Code]])+2,100)</f>
        <v>WORKING CAPITAL</v>
      </c>
      <c r="D443" s="602" t="s">
        <v>1287</v>
      </c>
      <c r="E443" s="601" t="s">
        <v>1141</v>
      </c>
      <c r="F443" s="601" t="s">
        <v>551</v>
      </c>
      <c r="G443" s="601">
        <v>296174</v>
      </c>
      <c r="H443" s="601">
        <v>664161</v>
      </c>
      <c r="I443" s="601">
        <v>554053</v>
      </c>
      <c r="J443" s="601">
        <v>331293</v>
      </c>
      <c r="K443" s="601">
        <v>542178</v>
      </c>
      <c r="L443" s="601" t="s">
        <v>23</v>
      </c>
    </row>
    <row r="444" spans="1:12" hidden="1">
      <c r="A444" s="601" t="s">
        <v>1288</v>
      </c>
      <c r="B444" s="601" t="str">
        <f t="shared" si="6"/>
        <v xml:space="preserve">AMER.EAG.OUTFITTERS </v>
      </c>
      <c r="C444" s="601" t="str">
        <f>MID(Table3[[#This Row],[Statement Code]],FIND("- ",Table3[[#This Row],[Statement Code]])+2,100)</f>
        <v>BK VAL PS 12M FWD</v>
      </c>
      <c r="D444" s="602" t="s">
        <v>1289</v>
      </c>
      <c r="E444" s="601" t="s">
        <v>1141</v>
      </c>
      <c r="F444" s="601" t="s">
        <v>551</v>
      </c>
      <c r="G444" s="601">
        <v>9.39</v>
      </c>
      <c r="H444" s="601">
        <v>6.53</v>
      </c>
      <c r="I444" s="601">
        <v>8.5</v>
      </c>
      <c r="J444" s="601">
        <v>7.56</v>
      </c>
      <c r="K444" s="601">
        <v>10.4</v>
      </c>
      <c r="L444" s="601">
        <v>11.64</v>
      </c>
    </row>
    <row r="445" spans="1:12" hidden="1">
      <c r="A445" s="601" t="s">
        <v>1290</v>
      </c>
      <c r="B445" s="601" t="str">
        <f t="shared" si="6"/>
        <v xml:space="preserve">AMER.EAG.OUTFITTERS </v>
      </c>
      <c r="C445" s="601" t="str">
        <f>MID(Table3[[#This Row],[Statement Code]],FIND("- ",Table3[[#This Row],[Statement Code]])+2,100)</f>
        <v>EV 12M FWD</v>
      </c>
      <c r="D445" s="602" t="s">
        <v>1291</v>
      </c>
      <c r="E445" s="601" t="s">
        <v>1141</v>
      </c>
      <c r="F445" s="601" t="s">
        <v>551</v>
      </c>
      <c r="G445" s="601">
        <v>2433209</v>
      </c>
      <c r="H445" s="601">
        <v>1867013</v>
      </c>
      <c r="I445" s="601">
        <v>5022230</v>
      </c>
      <c r="J445" s="601">
        <v>2540180</v>
      </c>
      <c r="K445" s="601">
        <v>2856070</v>
      </c>
      <c r="L445" s="601">
        <v>4167816</v>
      </c>
    </row>
    <row r="446" spans="1:12" hidden="1">
      <c r="A446" s="601" t="s">
        <v>1292</v>
      </c>
      <c r="B446" s="601" t="str">
        <f t="shared" si="6"/>
        <v xml:space="preserve">AMER.EAG.OUTFITTERS </v>
      </c>
      <c r="C446" s="601" t="str">
        <f>MID(Table3[[#This Row],[Statement Code]],FIND("- ",Table3[[#This Row],[Statement Code]])+2,100)</f>
        <v>NET INCOME 12M FWD</v>
      </c>
      <c r="D446" s="602" t="s">
        <v>1293</v>
      </c>
      <c r="E446" s="601" t="s">
        <v>1141</v>
      </c>
      <c r="F446" s="601" t="s">
        <v>551</v>
      </c>
      <c r="G446" s="601">
        <v>288023.2</v>
      </c>
      <c r="H446" s="601">
        <v>112696.7</v>
      </c>
      <c r="I446" s="601">
        <v>483083.5</v>
      </c>
      <c r="J446" s="601">
        <v>170026.7</v>
      </c>
      <c r="K446" s="601">
        <v>266399.90000000002</v>
      </c>
      <c r="L446" s="601">
        <v>369229.5</v>
      </c>
    </row>
    <row r="447" spans="1:12" hidden="1">
      <c r="A447" s="601" t="s">
        <v>1294</v>
      </c>
      <c r="B447" s="601" t="str">
        <f t="shared" si="6"/>
        <v xml:space="preserve">AMER.EAG.OUTFITTERS </v>
      </c>
      <c r="C447" s="601" t="str">
        <f>MID(Table3[[#This Row],[Statement Code]],FIND("- ",Table3[[#This Row],[Statement Code]])+2,100)</f>
        <v>PRETAX PRF 12M FWD</v>
      </c>
      <c r="D447" s="602" t="s">
        <v>1295</v>
      </c>
      <c r="E447" s="601" t="s">
        <v>1141</v>
      </c>
      <c r="F447" s="601" t="s">
        <v>551</v>
      </c>
      <c r="G447" s="601">
        <v>378939.2</v>
      </c>
      <c r="H447" s="601">
        <v>145510</v>
      </c>
      <c r="I447" s="601">
        <v>632676.5</v>
      </c>
      <c r="J447" s="601">
        <v>234486.7</v>
      </c>
      <c r="K447" s="601">
        <v>356179.9</v>
      </c>
      <c r="L447" s="601">
        <v>495435.8</v>
      </c>
    </row>
    <row r="448" spans="1:12" hidden="1">
      <c r="A448" s="601" t="s">
        <v>1296</v>
      </c>
      <c r="B448" s="601" t="str">
        <f t="shared" si="6"/>
        <v xml:space="preserve">AMER.EAG.OUTFITTERS </v>
      </c>
      <c r="C448" s="601" t="str">
        <f>MID(Table3[[#This Row],[Statement Code]],FIND("- ",Table3[[#This Row],[Statement Code]])+2,100)</f>
        <v>ROE 12M FWD</v>
      </c>
      <c r="D448" s="602" t="s">
        <v>1297</v>
      </c>
      <c r="E448" s="601" t="s">
        <v>1141</v>
      </c>
      <c r="F448" s="601" t="s">
        <v>551</v>
      </c>
      <c r="G448" s="601">
        <v>24.67</v>
      </c>
      <c r="H448" s="601">
        <v>11.35</v>
      </c>
      <c r="I448" s="601">
        <v>34.700000000000003</v>
      </c>
      <c r="J448" s="601">
        <v>11.88</v>
      </c>
      <c r="K448" s="601">
        <v>14.57</v>
      </c>
      <c r="L448" s="601">
        <v>19.23</v>
      </c>
    </row>
    <row r="449" spans="1:12" hidden="1">
      <c r="A449" s="601" t="s">
        <v>1298</v>
      </c>
      <c r="B449" s="601" t="str">
        <f t="shared" si="6"/>
        <v xml:space="preserve">AMER.EAG.OUTFITTERS </v>
      </c>
      <c r="C449" s="601" t="str">
        <f>MID(Table3[[#This Row],[Statement Code]],FIND("- ",Table3[[#This Row],[Statement Code]])+2,100)</f>
        <v>SALES 12M FWD</v>
      </c>
      <c r="D449" s="602" t="s">
        <v>1299</v>
      </c>
      <c r="E449" s="601" t="s">
        <v>1141</v>
      </c>
      <c r="F449" s="601" t="s">
        <v>551</v>
      </c>
      <c r="G449" s="601">
        <v>4397910</v>
      </c>
      <c r="H449" s="601">
        <v>4128223</v>
      </c>
      <c r="I449" s="601">
        <v>5196082</v>
      </c>
      <c r="J449" s="601">
        <v>5034348</v>
      </c>
      <c r="K449" s="601">
        <v>5206230</v>
      </c>
      <c r="L449" s="601">
        <v>5502992</v>
      </c>
    </row>
    <row r="450" spans="1:12" hidden="1">
      <c r="A450" s="601" t="s">
        <v>1300</v>
      </c>
      <c r="B450" s="601" t="str">
        <f t="shared" si="6"/>
        <v xml:space="preserve">AMERICAN </v>
      </c>
      <c r="C450" s="601" t="str">
        <f>MID(Table3[[#This Row],[Statement Code]],FIND("- ",Table3[[#This Row],[Statement Code]])+2,100)</f>
        <v>DECREASE/INCREASE RECEIVABLES</v>
      </c>
      <c r="D450" s="602" t="s">
        <v>1301</v>
      </c>
      <c r="E450" s="601" t="s">
        <v>1141</v>
      </c>
      <c r="F450" s="601" t="s">
        <v>551</v>
      </c>
      <c r="G450" s="601" t="s">
        <v>23</v>
      </c>
      <c r="H450" s="601" t="s">
        <v>23</v>
      </c>
      <c r="I450" s="601" t="s">
        <v>23</v>
      </c>
      <c r="J450" s="601" t="s">
        <v>23</v>
      </c>
      <c r="K450" s="601">
        <v>-5820</v>
      </c>
      <c r="L450" s="601" t="s">
        <v>23</v>
      </c>
    </row>
    <row r="451" spans="1:12" hidden="1">
      <c r="A451" s="601" t="s">
        <v>1302</v>
      </c>
      <c r="B451" s="601" t="str">
        <f t="shared" ref="B451:B514" si="7">LEFT(A451,FIND(" ",A451))</f>
        <v xml:space="preserve">AMERICAN </v>
      </c>
      <c r="C451" s="601" t="str">
        <f>MID(Table3[[#This Row],[Statement Code]],FIND("- ",Table3[[#This Row],[Statement Code]])+2,100)</f>
        <v>DECREASE/INCR OTH ASTS/LIABILT</v>
      </c>
      <c r="D451" s="602" t="s">
        <v>1303</v>
      </c>
      <c r="E451" s="601" t="s">
        <v>1141</v>
      </c>
      <c r="F451" s="601" t="s">
        <v>551</v>
      </c>
      <c r="G451" s="601">
        <v>228458</v>
      </c>
      <c r="H451" s="601">
        <v>119059</v>
      </c>
      <c r="I451" s="601">
        <v>162500</v>
      </c>
      <c r="J451" s="601">
        <v>415929</v>
      </c>
      <c r="K451" s="601">
        <v>248132</v>
      </c>
      <c r="L451" s="601" t="s">
        <v>23</v>
      </c>
    </row>
    <row r="452" spans="1:12" hidden="1">
      <c r="A452" s="601" t="s">
        <v>1304</v>
      </c>
      <c r="B452" s="601" t="str">
        <f t="shared" si="7"/>
        <v xml:space="preserve">AMERICAN </v>
      </c>
      <c r="C452" s="601" t="str">
        <f>MID(Table3[[#This Row],[Statement Code]],FIND("- ",Table3[[#This Row],[Statement Code]])+2,100)</f>
        <v>DECREASE/INCREASE INVENTORIES</v>
      </c>
      <c r="D452" s="602" t="s">
        <v>1305</v>
      </c>
      <c r="E452" s="601" t="s">
        <v>1141</v>
      </c>
      <c r="F452" s="601" t="s">
        <v>551</v>
      </c>
      <c r="G452" s="601">
        <v>-21615</v>
      </c>
      <c r="H452" s="601">
        <v>42156</v>
      </c>
      <c r="I452" s="601">
        <v>-147140</v>
      </c>
      <c r="J452" s="601">
        <v>-38364</v>
      </c>
      <c r="K452" s="601">
        <v>-46304</v>
      </c>
      <c r="L452" s="601" t="s">
        <v>23</v>
      </c>
    </row>
    <row r="453" spans="1:12" hidden="1">
      <c r="A453" s="601" t="s">
        <v>1306</v>
      </c>
      <c r="B453" s="601" t="str">
        <f t="shared" si="7"/>
        <v xml:space="preserve">AMERICAN </v>
      </c>
      <c r="C453" s="601" t="str">
        <f>MID(Table3[[#This Row],[Statement Code]],FIND("- ",Table3[[#This Row],[Statement Code]])+2,100)</f>
        <v>DECREASE IN INVESTMENTS</v>
      </c>
      <c r="D453" s="602" t="s">
        <v>1307</v>
      </c>
      <c r="E453" s="601" t="s">
        <v>1141</v>
      </c>
      <c r="F453" s="601" t="s">
        <v>551</v>
      </c>
      <c r="G453" s="601">
        <v>122135</v>
      </c>
      <c r="H453" s="601">
        <v>69956</v>
      </c>
      <c r="I453" s="601">
        <v>75000</v>
      </c>
      <c r="J453" s="601">
        <v>0</v>
      </c>
      <c r="K453" s="601">
        <v>0</v>
      </c>
      <c r="L453" s="601" t="s">
        <v>23</v>
      </c>
    </row>
    <row r="454" spans="1:12" hidden="1">
      <c r="A454" s="601" t="s">
        <v>1308</v>
      </c>
      <c r="B454" s="601" t="str">
        <f t="shared" si="7"/>
        <v xml:space="preserve">ABERCROMBIE </v>
      </c>
      <c r="C454" s="601" t="str">
        <f>MID(Table3[[#This Row],[Statement Code]],FIND("- ",Table3[[#This Row],[Statement Code]])+2,100)</f>
        <v>MARKET VALUE</v>
      </c>
      <c r="D454" s="602" t="s">
        <v>1309</v>
      </c>
      <c r="E454" s="601" t="s">
        <v>1310</v>
      </c>
      <c r="F454" s="601" t="s">
        <v>551</v>
      </c>
      <c r="G454" s="601">
        <v>1014.56</v>
      </c>
      <c r="H454" s="601">
        <v>952.44</v>
      </c>
      <c r="I454" s="601">
        <v>2202.59</v>
      </c>
      <c r="J454" s="601">
        <v>765.54</v>
      </c>
      <c r="K454" s="601">
        <v>2562.67</v>
      </c>
      <c r="L454" s="601">
        <v>6918.6</v>
      </c>
    </row>
    <row r="455" spans="1:12" hidden="1">
      <c r="A455" s="601" t="s">
        <v>1311</v>
      </c>
      <c r="B455" s="601" t="str">
        <f t="shared" si="7"/>
        <v xml:space="preserve">ABERCROMBIE </v>
      </c>
      <c r="C455" s="601" t="str">
        <f>MID(Table3[[#This Row],[Statement Code]],FIND("- ",Table3[[#This Row],[Statement Code]])+2,100)</f>
        <v>PER</v>
      </c>
      <c r="D455" s="602" t="s">
        <v>1312</v>
      </c>
      <c r="E455" s="601" t="s">
        <v>1310</v>
      </c>
      <c r="F455" s="601" t="s">
        <v>551</v>
      </c>
      <c r="G455" s="601">
        <v>17.7</v>
      </c>
      <c r="H455" s="601" t="s">
        <v>23</v>
      </c>
      <c r="I455" s="601">
        <v>8.6</v>
      </c>
      <c r="J455" s="601">
        <v>12.6</v>
      </c>
      <c r="K455" s="601">
        <v>23.9</v>
      </c>
      <c r="L455" s="601">
        <v>16.8</v>
      </c>
    </row>
    <row r="456" spans="1:12" hidden="1">
      <c r="A456" s="601" t="s">
        <v>1313</v>
      </c>
      <c r="B456" s="601" t="str">
        <f t="shared" si="7"/>
        <v xml:space="preserve">ABERCROMBIE </v>
      </c>
      <c r="C456" s="601" t="str">
        <f>MID(Table3[[#This Row],[Statement Code]],FIND("- ",Table3[[#This Row],[Statement Code]])+2,100)</f>
        <v>12MTH FORWARD EPS</v>
      </c>
      <c r="D456" s="602" t="s">
        <v>1314</v>
      </c>
      <c r="E456" s="601" t="s">
        <v>1310</v>
      </c>
      <c r="F456" s="601" t="s">
        <v>551</v>
      </c>
      <c r="G456" s="601">
        <v>1.2290000000000001</v>
      </c>
      <c r="H456" s="601">
        <v>-0.15</v>
      </c>
      <c r="I456" s="601">
        <v>4.0030000000000001</v>
      </c>
      <c r="J456" s="601">
        <v>1.2969999999999999</v>
      </c>
      <c r="K456" s="601">
        <v>4.367</v>
      </c>
      <c r="L456" s="601">
        <v>10.53</v>
      </c>
    </row>
    <row r="457" spans="1:12" hidden="1">
      <c r="A457" s="601" t="s">
        <v>1315</v>
      </c>
      <c r="B457" s="601" t="str">
        <f t="shared" si="7"/>
        <v xml:space="preserve">ABERCROMBIE </v>
      </c>
      <c r="C457" s="601" t="e">
        <f>MID(Table3[[#This Row],[Statement Code]],FIND("- ",Table3[[#This Row],[Statement Code]])+2,100)</f>
        <v>#VALUE!</v>
      </c>
      <c r="D457" s="602" t="s">
        <v>1316</v>
      </c>
      <c r="E457" s="601" t="s">
        <v>1310</v>
      </c>
      <c r="F457" s="601" t="s">
        <v>551</v>
      </c>
      <c r="G457" s="601">
        <v>7.8739999999999997</v>
      </c>
      <c r="H457" s="601">
        <v>-0.96799999999999997</v>
      </c>
      <c r="I457" s="601">
        <v>11.138999999999999</v>
      </c>
      <c r="J457" s="601">
        <v>8.4529999999999994</v>
      </c>
      <c r="K457" s="601">
        <v>8.6229999999999993</v>
      </c>
      <c r="L457" s="601">
        <v>7.774</v>
      </c>
    </row>
    <row r="458" spans="1:12" hidden="1">
      <c r="A458" s="601" t="s">
        <v>1315</v>
      </c>
      <c r="B458" s="601" t="str">
        <f t="shared" si="7"/>
        <v xml:space="preserve">ABERCROMBIE </v>
      </c>
      <c r="C458" s="601" t="e">
        <f>MID(Table3[[#This Row],[Statement Code]],FIND("- ",Table3[[#This Row],[Statement Code]])+2,100)</f>
        <v>#VALUE!</v>
      </c>
      <c r="D458" s="602" t="s">
        <v>1317</v>
      </c>
      <c r="E458" s="601" t="s">
        <v>1310</v>
      </c>
      <c r="F458" s="601" t="s">
        <v>551</v>
      </c>
      <c r="G458" s="601">
        <v>4.6970000000000001</v>
      </c>
      <c r="H458" s="601">
        <v>4.3949999999999996</v>
      </c>
      <c r="I458" s="601">
        <v>4.851</v>
      </c>
      <c r="J458" s="601">
        <v>5.5339999999999998</v>
      </c>
      <c r="K458" s="601">
        <v>5.2080000000000002</v>
      </c>
      <c r="L458" s="601">
        <v>8.4830000000000005</v>
      </c>
    </row>
    <row r="459" spans="1:12" hidden="1">
      <c r="A459" s="601" t="s">
        <v>1315</v>
      </c>
      <c r="B459" s="601" t="str">
        <f t="shared" si="7"/>
        <v xml:space="preserve">ABERCROMBIE </v>
      </c>
      <c r="C459" s="601" t="e">
        <f>MID(Table3[[#This Row],[Statement Code]],FIND("- ",Table3[[#This Row],[Statement Code]])+2,100)</f>
        <v>#VALUE!</v>
      </c>
      <c r="D459" s="602" t="s">
        <v>1318</v>
      </c>
      <c r="E459" s="601" t="s">
        <v>1310</v>
      </c>
      <c r="F459" s="601" t="s">
        <v>551</v>
      </c>
      <c r="G459" s="601">
        <v>1.968</v>
      </c>
      <c r="H459" s="601">
        <v>0.94499999999999995</v>
      </c>
      <c r="I459" s="601">
        <v>3.2440000000000002</v>
      </c>
      <c r="J459" s="601">
        <v>2.206</v>
      </c>
      <c r="K459" s="601">
        <v>3.5720000000000001</v>
      </c>
      <c r="L459" s="601">
        <v>6.867</v>
      </c>
    </row>
    <row r="460" spans="1:12" hidden="1">
      <c r="A460" s="601" t="s">
        <v>1315</v>
      </c>
      <c r="B460" s="601" t="str">
        <f t="shared" si="7"/>
        <v xml:space="preserve">ABERCROMBIE </v>
      </c>
      <c r="C460" s="601" t="e">
        <f>MID(Table3[[#This Row],[Statement Code]],FIND("- ",Table3[[#This Row],[Statement Code]])+2,100)</f>
        <v>#VALUE!</v>
      </c>
      <c r="D460" s="602" t="s">
        <v>1319</v>
      </c>
      <c r="E460" s="601" t="s">
        <v>1310</v>
      </c>
      <c r="F460" s="601" t="s">
        <v>551</v>
      </c>
      <c r="G460" s="601">
        <v>8.2301000000000002</v>
      </c>
      <c r="H460" s="601">
        <v>5.5228000000000002</v>
      </c>
      <c r="I460" s="601">
        <v>13.4299</v>
      </c>
      <c r="J460" s="601" t="s">
        <v>23</v>
      </c>
      <c r="K460" s="601">
        <v>6.8383000000000003</v>
      </c>
      <c r="L460" s="601">
        <v>9.6622000000000003</v>
      </c>
    </row>
    <row r="461" spans="1:12" hidden="1">
      <c r="A461" s="601" t="s">
        <v>1315</v>
      </c>
      <c r="B461" s="601" t="str">
        <f t="shared" si="7"/>
        <v xml:space="preserve">ABERCROMBIE </v>
      </c>
      <c r="C461" s="601" t="e">
        <f>MID(Table3[[#This Row],[Statement Code]],FIND("- ",Table3[[#This Row],[Statement Code]])+2,100)</f>
        <v>#VALUE!</v>
      </c>
      <c r="D461" s="602" t="s">
        <v>1320</v>
      </c>
      <c r="E461" s="601" t="s">
        <v>1310</v>
      </c>
      <c r="F461" s="601" t="s">
        <v>551</v>
      </c>
      <c r="G461" s="601">
        <v>0.159</v>
      </c>
      <c r="H461" s="601">
        <v>6.2E-2</v>
      </c>
      <c r="I461" s="601">
        <v>0.443</v>
      </c>
      <c r="J461" s="601">
        <v>0.155</v>
      </c>
      <c r="K461" s="601">
        <v>0.46100000000000002</v>
      </c>
      <c r="L461" s="601">
        <v>1.252</v>
      </c>
    </row>
    <row r="462" spans="1:12" hidden="1">
      <c r="A462" s="601" t="s">
        <v>1315</v>
      </c>
      <c r="B462" s="601" t="str">
        <f t="shared" si="7"/>
        <v xml:space="preserve">ABERCROMBIE </v>
      </c>
      <c r="C462" s="601" t="e">
        <f>MID(Table3[[#This Row],[Statement Code]],FIND("- ",Table3[[#This Row],[Statement Code]])+2,100)</f>
        <v>#VALUE!</v>
      </c>
      <c r="D462" s="602" t="s">
        <v>1321</v>
      </c>
      <c r="E462" s="601" t="s">
        <v>1310</v>
      </c>
      <c r="F462" s="601" t="s">
        <v>551</v>
      </c>
      <c r="G462" s="601">
        <v>-1.671</v>
      </c>
      <c r="H462" s="601">
        <v>-1.9319999999999999</v>
      </c>
      <c r="I462" s="601">
        <v>-2.0049999999999999</v>
      </c>
      <c r="J462" s="601">
        <v>-1.2110000000000001</v>
      </c>
      <c r="K462" s="601">
        <v>-1.1479999999999999</v>
      </c>
      <c r="L462" s="601">
        <v>-1.6479999999999999</v>
      </c>
    </row>
    <row r="463" spans="1:12" hidden="1">
      <c r="A463" s="601" t="s">
        <v>1315</v>
      </c>
      <c r="B463" s="601" t="str">
        <f t="shared" si="7"/>
        <v xml:space="preserve">ABERCROMBIE </v>
      </c>
      <c r="C463" s="601" t="e">
        <f>MID(Table3[[#This Row],[Statement Code]],FIND("- ",Table3[[#This Row],[Statement Code]])+2,100)</f>
        <v>#VALUE!</v>
      </c>
      <c r="D463" s="602" t="s">
        <v>1322</v>
      </c>
      <c r="E463" s="601" t="s">
        <v>1310</v>
      </c>
      <c r="F463" s="601" t="s">
        <v>551</v>
      </c>
      <c r="G463" s="601">
        <v>-0.316</v>
      </c>
      <c r="H463" s="601">
        <v>-0.69</v>
      </c>
      <c r="I463" s="601">
        <v>-0.65</v>
      </c>
      <c r="J463" s="601">
        <v>-0.42799999999999999</v>
      </c>
      <c r="K463" s="601">
        <v>-0.27300000000000002</v>
      </c>
      <c r="L463" s="601">
        <v>-0.22</v>
      </c>
    </row>
    <row r="464" spans="1:12" hidden="1">
      <c r="A464" s="601" t="s">
        <v>1315</v>
      </c>
      <c r="B464" s="601" t="str">
        <f t="shared" si="7"/>
        <v xml:space="preserve">ABERCROMBIE </v>
      </c>
      <c r="C464" s="601" t="e">
        <f>MID(Table3[[#This Row],[Statement Code]],FIND("- ",Table3[[#This Row],[Statement Code]])+2,100)</f>
        <v>#VALUE!</v>
      </c>
      <c r="D464" s="602" t="s">
        <v>1323</v>
      </c>
      <c r="E464" s="601" t="s">
        <v>1310</v>
      </c>
      <c r="F464" s="601" t="s">
        <v>551</v>
      </c>
      <c r="G464" s="601">
        <v>0.75</v>
      </c>
      <c r="H464" s="601" t="s">
        <v>23</v>
      </c>
      <c r="I464" s="601">
        <v>0.41</v>
      </c>
      <c r="J464" s="601">
        <v>0.7</v>
      </c>
      <c r="K464" s="601">
        <v>0.62</v>
      </c>
      <c r="L464" s="601">
        <v>0.6</v>
      </c>
    </row>
    <row r="465" spans="1:12" hidden="1">
      <c r="A465" s="601" t="s">
        <v>1315</v>
      </c>
      <c r="B465" s="601" t="str">
        <f t="shared" si="7"/>
        <v xml:space="preserve">ABERCROMBIE </v>
      </c>
      <c r="C465" s="601" t="e">
        <f>MID(Table3[[#This Row],[Statement Code]],FIND("- ",Table3[[#This Row],[Statement Code]])+2,100)</f>
        <v>#VALUE!</v>
      </c>
      <c r="D465" s="602" t="s">
        <v>1324</v>
      </c>
      <c r="E465" s="601" t="s">
        <v>1310</v>
      </c>
      <c r="F465" s="601" t="s">
        <v>551</v>
      </c>
      <c r="G465" s="601">
        <v>0.47</v>
      </c>
      <c r="H465" s="601" t="s">
        <v>23</v>
      </c>
      <c r="I465" s="601">
        <v>0.28000000000000003</v>
      </c>
      <c r="J465" s="601">
        <v>0.42</v>
      </c>
      <c r="K465" s="601">
        <v>0.41</v>
      </c>
      <c r="L465" s="601">
        <v>0.44</v>
      </c>
    </row>
    <row r="466" spans="1:12" hidden="1">
      <c r="A466" s="601" t="s">
        <v>1315</v>
      </c>
      <c r="B466" s="601" t="str">
        <f t="shared" si="7"/>
        <v xml:space="preserve">ABERCROMBIE </v>
      </c>
      <c r="C466" s="601" t="e">
        <f>MID(Table3[[#This Row],[Statement Code]],FIND("- ",Table3[[#This Row],[Statement Code]])+2,100)</f>
        <v>#VALUE!</v>
      </c>
      <c r="D466" s="602" t="s">
        <v>1325</v>
      </c>
      <c r="E466" s="601" t="s">
        <v>1310</v>
      </c>
      <c r="F466" s="601" t="s">
        <v>551</v>
      </c>
      <c r="G466" s="601">
        <v>0.84179999999999999</v>
      </c>
      <c r="H466" s="601">
        <v>1.0478000000000001</v>
      </c>
      <c r="I466" s="601">
        <v>1.8844000000000001</v>
      </c>
      <c r="J466" s="601">
        <v>1.0422</v>
      </c>
      <c r="K466" s="601">
        <v>2.3683999999999998</v>
      </c>
      <c r="L466" s="601">
        <v>3.2926000000000002</v>
      </c>
    </row>
    <row r="467" spans="1:12">
      <c r="A467" s="601" t="s">
        <v>1326</v>
      </c>
      <c r="B467" s="601" t="str">
        <f t="shared" si="7"/>
        <v xml:space="preserve">ABERCROMBIE </v>
      </c>
      <c r="C467" s="601" t="str">
        <f>MID(Table3[[#This Row],[Statement Code]],FIND("- ",Table3[[#This Row],[Statement Code]])+2,100)</f>
        <v>12MTH TRAILING EPS</v>
      </c>
      <c r="D467" s="602" t="s">
        <v>1327</v>
      </c>
      <c r="E467" s="601" t="s">
        <v>1310</v>
      </c>
      <c r="F467" s="601" t="s">
        <v>551</v>
      </c>
      <c r="G467" s="601">
        <v>1.016</v>
      </c>
      <c r="H467" s="601">
        <v>-1.1100000000000001</v>
      </c>
      <c r="I467" s="601">
        <v>2.7370000000000001</v>
      </c>
      <c r="J467" s="601">
        <v>2.137</v>
      </c>
      <c r="K467" s="601">
        <v>3.0030000000000001</v>
      </c>
      <c r="L467" s="601">
        <v>8.6509999999999998</v>
      </c>
    </row>
    <row r="468" spans="1:12" hidden="1">
      <c r="A468" s="601" t="s">
        <v>1328</v>
      </c>
      <c r="B468" s="601" t="str">
        <f t="shared" si="7"/>
        <v xml:space="preserve">ABERCROMBIE </v>
      </c>
      <c r="C468" s="601" t="str">
        <f>MID(Table3[[#This Row],[Statement Code]],FIND("- ",Table3[[#This Row],[Statement Code]])+2,100)</f>
        <v>DIV.PER SHR.</v>
      </c>
      <c r="D468" s="602" t="s">
        <v>1329</v>
      </c>
      <c r="E468" s="601" t="s">
        <v>1310</v>
      </c>
      <c r="F468" s="601" t="s">
        <v>551</v>
      </c>
      <c r="G468" s="601">
        <v>0.8</v>
      </c>
      <c r="H468" s="601">
        <v>0</v>
      </c>
      <c r="I468" s="601">
        <v>0</v>
      </c>
      <c r="J468" s="601">
        <v>0</v>
      </c>
      <c r="K468" s="601">
        <v>0</v>
      </c>
      <c r="L468" s="601">
        <v>0</v>
      </c>
    </row>
    <row r="469" spans="1:12" hidden="1">
      <c r="A469" s="601" t="s">
        <v>1315</v>
      </c>
      <c r="B469" s="601" t="str">
        <f t="shared" si="7"/>
        <v xml:space="preserve">ABERCROMBIE </v>
      </c>
      <c r="C469" s="601" t="e">
        <f>MID(Table3[[#This Row],[Statement Code]],FIND("- ",Table3[[#This Row],[Statement Code]])+2,100)</f>
        <v>#VALUE!</v>
      </c>
      <c r="D469" s="602" t="s">
        <v>1330</v>
      </c>
      <c r="E469" s="601" t="s">
        <v>1310</v>
      </c>
      <c r="F469" s="601" t="s">
        <v>551</v>
      </c>
      <c r="G469" s="601">
        <v>5.1890000000000001</v>
      </c>
      <c r="H469" s="601">
        <v>2.754</v>
      </c>
      <c r="I469" s="601">
        <v>1.298</v>
      </c>
      <c r="J469" s="601">
        <v>0.86899999999999999</v>
      </c>
      <c r="K469" s="601">
        <v>0</v>
      </c>
      <c r="L469" s="601">
        <v>0</v>
      </c>
    </row>
    <row r="470" spans="1:12" hidden="1">
      <c r="A470" s="601" t="s">
        <v>1313</v>
      </c>
      <c r="B470" s="601" t="str">
        <f t="shared" si="7"/>
        <v xml:space="preserve">ABERCROMBIE </v>
      </c>
      <c r="C470" s="601" t="str">
        <f>MID(Table3[[#This Row],[Statement Code]],FIND("- ",Table3[[#This Row],[Statement Code]])+2,100)</f>
        <v>12MTH FORWARD EPS</v>
      </c>
      <c r="D470" s="602" t="s">
        <v>1314</v>
      </c>
      <c r="E470" s="601" t="s">
        <v>1310</v>
      </c>
      <c r="F470" s="601" t="s">
        <v>551</v>
      </c>
      <c r="G470" s="601">
        <v>1.2290000000000001</v>
      </c>
      <c r="H470" s="601">
        <v>-0.15</v>
      </c>
      <c r="I470" s="601">
        <v>4.0030000000000001</v>
      </c>
      <c r="J470" s="601">
        <v>1.2969999999999999</v>
      </c>
      <c r="K470" s="601">
        <v>4.367</v>
      </c>
      <c r="L470" s="601">
        <v>10.53</v>
      </c>
    </row>
    <row r="471" spans="1:12" hidden="1">
      <c r="A471" s="601" t="s">
        <v>1311</v>
      </c>
      <c r="B471" s="601" t="str">
        <f t="shared" si="7"/>
        <v xml:space="preserve">ABERCROMBIE </v>
      </c>
      <c r="C471" s="601" t="str">
        <f>MID(Table3[[#This Row],[Statement Code]],FIND("- ",Table3[[#This Row],[Statement Code]])+2,100)</f>
        <v>PER</v>
      </c>
      <c r="D471" s="602" t="s">
        <v>1312</v>
      </c>
      <c r="E471" s="601" t="s">
        <v>1310</v>
      </c>
      <c r="F471" s="601" t="s">
        <v>551</v>
      </c>
      <c r="G471" s="601">
        <v>17.7</v>
      </c>
      <c r="H471" s="601" t="s">
        <v>23</v>
      </c>
      <c r="I471" s="601">
        <v>8.6</v>
      </c>
      <c r="J471" s="601">
        <v>12.6</v>
      </c>
      <c r="K471" s="601">
        <v>23.9</v>
      </c>
      <c r="L471" s="601">
        <v>16.8</v>
      </c>
    </row>
    <row r="472" spans="1:12" hidden="1">
      <c r="A472" s="601" t="s">
        <v>1308</v>
      </c>
      <c r="B472" s="601" t="str">
        <f t="shared" si="7"/>
        <v xml:space="preserve">ABERCROMBIE </v>
      </c>
      <c r="C472" s="601" t="str">
        <f>MID(Table3[[#This Row],[Statement Code]],FIND("- ",Table3[[#This Row],[Statement Code]])+2,100)</f>
        <v>MARKET VALUE</v>
      </c>
      <c r="D472" s="602" t="s">
        <v>1309</v>
      </c>
      <c r="E472" s="601" t="s">
        <v>1310</v>
      </c>
      <c r="F472" s="601" t="s">
        <v>551</v>
      </c>
      <c r="G472" s="601">
        <v>1014.56</v>
      </c>
      <c r="H472" s="601">
        <v>952.44</v>
      </c>
      <c r="I472" s="601">
        <v>2202.59</v>
      </c>
      <c r="J472" s="601">
        <v>765.54</v>
      </c>
      <c r="K472" s="601">
        <v>2562.67</v>
      </c>
      <c r="L472" s="601">
        <v>6918.6</v>
      </c>
    </row>
    <row r="473" spans="1:12" hidden="1">
      <c r="A473" s="601" t="s">
        <v>1331</v>
      </c>
      <c r="B473" s="601" t="str">
        <f t="shared" si="7"/>
        <v xml:space="preserve">ABERCROMBIE </v>
      </c>
      <c r="C473" s="601" t="str">
        <f>MID(Table3[[#This Row],[Statement Code]],FIND("- ",Table3[[#This Row],[Statement Code]])+2,100)</f>
        <v>EARNINGS PER SHR</v>
      </c>
      <c r="D473" s="602" t="s">
        <v>1332</v>
      </c>
      <c r="E473" s="601" t="s">
        <v>1310</v>
      </c>
      <c r="F473" s="601" t="s">
        <v>551</v>
      </c>
      <c r="G473" s="601">
        <v>0.91</v>
      </c>
      <c r="H473" s="601">
        <v>0</v>
      </c>
      <c r="I473" s="601">
        <v>4.3099999999999996</v>
      </c>
      <c r="J473" s="601">
        <v>1.23</v>
      </c>
      <c r="K473" s="601">
        <v>2.13</v>
      </c>
      <c r="L473" s="601">
        <v>8.0399999999999991</v>
      </c>
    </row>
    <row r="474" spans="1:12" hidden="1">
      <c r="A474" s="601" t="s">
        <v>1315</v>
      </c>
      <c r="B474" s="601" t="str">
        <f t="shared" si="7"/>
        <v xml:space="preserve">ABERCROMBIE </v>
      </c>
      <c r="C474" s="601" t="e">
        <f>MID(Table3[[#This Row],[Statement Code]],FIND("- ",Table3[[#This Row],[Statement Code]])+2,100)</f>
        <v>#VALUE!</v>
      </c>
      <c r="D474" s="602" t="s">
        <v>1333</v>
      </c>
      <c r="E474" s="601" t="s">
        <v>1310</v>
      </c>
      <c r="F474" s="601" t="s">
        <v>23</v>
      </c>
      <c r="G474" s="601">
        <v>0.32019999999999998</v>
      </c>
      <c r="H474" s="601">
        <v>1.6283000000000001</v>
      </c>
      <c r="I474" s="601">
        <v>1.6811</v>
      </c>
      <c r="J474" s="601">
        <v>1.7831999999999999</v>
      </c>
      <c r="K474" s="601">
        <v>1.8082</v>
      </c>
      <c r="L474" s="601">
        <v>1.9351</v>
      </c>
    </row>
    <row r="475" spans="1:12" hidden="1">
      <c r="A475" s="601" t="s">
        <v>1315</v>
      </c>
      <c r="B475" s="601" t="str">
        <f t="shared" si="7"/>
        <v xml:space="preserve">ABERCROMBIE </v>
      </c>
      <c r="C475" s="601" t="e">
        <f>MID(Table3[[#This Row],[Statement Code]],FIND("- ",Table3[[#This Row],[Statement Code]])+2,100)</f>
        <v>#VALUE!</v>
      </c>
      <c r="D475" s="602" t="s">
        <v>1334</v>
      </c>
      <c r="E475" s="601" t="s">
        <v>1310</v>
      </c>
      <c r="F475" s="601" t="s">
        <v>23</v>
      </c>
      <c r="G475" s="601">
        <v>0.53039999999999998</v>
      </c>
      <c r="H475" s="601">
        <v>0.64419999999999999</v>
      </c>
      <c r="I475" s="601">
        <v>0.63600000000000001</v>
      </c>
      <c r="J475" s="601">
        <v>0.68769999999999998</v>
      </c>
      <c r="K475" s="601">
        <v>0.69889999999999997</v>
      </c>
      <c r="L475" s="601">
        <v>0.68979999999999997</v>
      </c>
    </row>
    <row r="476" spans="1:12" hidden="1">
      <c r="A476" s="601" t="s">
        <v>1335</v>
      </c>
      <c r="B476" s="601" t="str">
        <f t="shared" si="7"/>
        <v xml:space="preserve">ABERCROMBIE </v>
      </c>
      <c r="C476" s="601" t="str">
        <f>MID(Table3[[#This Row],[Statement Code]],FIND("- ",Table3[[#This Row],[Statement Code]])+2,100)</f>
        <v>ACCOUNTS PAYABLE</v>
      </c>
      <c r="D476" s="602" t="s">
        <v>1336</v>
      </c>
      <c r="E476" s="601" t="s">
        <v>1310</v>
      </c>
      <c r="F476" s="601" t="s">
        <v>551</v>
      </c>
      <c r="G476" s="601">
        <v>219919</v>
      </c>
      <c r="H476" s="601">
        <v>289396</v>
      </c>
      <c r="I476" s="601">
        <v>374829</v>
      </c>
      <c r="J476" s="601">
        <v>258895</v>
      </c>
      <c r="K476" s="601">
        <v>296976</v>
      </c>
      <c r="L476" s="601" t="s">
        <v>23</v>
      </c>
    </row>
    <row r="477" spans="1:12" hidden="1">
      <c r="A477" s="601" t="s">
        <v>1337</v>
      </c>
      <c r="B477" s="601" t="str">
        <f t="shared" si="7"/>
        <v xml:space="preserve">ABERCROMBIE </v>
      </c>
      <c r="C477" s="601" t="str">
        <f>MID(Table3[[#This Row],[Statement Code]],FIND("- ",Table3[[#This Row],[Statement Code]])+2,100)</f>
        <v>AMORTIZATION OF DEFERRED CHARG</v>
      </c>
      <c r="D477" s="602" t="s">
        <v>1338</v>
      </c>
      <c r="E477" s="601" t="s">
        <v>1310</v>
      </c>
      <c r="F477" s="601" t="s">
        <v>551</v>
      </c>
      <c r="G477" s="601">
        <v>0</v>
      </c>
      <c r="H477" s="601">
        <v>0</v>
      </c>
      <c r="I477" s="601">
        <v>0</v>
      </c>
      <c r="J477" s="601">
        <v>0</v>
      </c>
      <c r="K477" s="601">
        <v>0</v>
      </c>
      <c r="L477" s="601" t="s">
        <v>23</v>
      </c>
    </row>
    <row r="478" spans="1:12" hidden="1">
      <c r="A478" s="601" t="s">
        <v>1339</v>
      </c>
      <c r="B478" s="601" t="str">
        <f t="shared" si="7"/>
        <v xml:space="preserve">ABERCROMBIE </v>
      </c>
      <c r="C478" s="601" t="str">
        <f>MID(Table3[[#This Row],[Statement Code]],FIND("- ",Table3[[#This Row],[Statement Code]])+2,100)</f>
        <v>BOOK VALUE-OUT SHARES-FISCAL</v>
      </c>
      <c r="D478" s="602" t="s">
        <v>1340</v>
      </c>
      <c r="E478" s="601" t="s">
        <v>1310</v>
      </c>
      <c r="F478" s="601" t="s">
        <v>551</v>
      </c>
      <c r="G478" s="601">
        <v>16.864000000000001</v>
      </c>
      <c r="H478" s="601">
        <v>15.01</v>
      </c>
      <c r="I478" s="601">
        <v>15.590999999999999</v>
      </c>
      <c r="J478" s="601">
        <v>14.18</v>
      </c>
      <c r="K478" s="601">
        <v>20.498000000000001</v>
      </c>
      <c r="L478" s="601" t="s">
        <v>23</v>
      </c>
    </row>
    <row r="479" spans="1:12" hidden="1">
      <c r="A479" s="601" t="s">
        <v>1341</v>
      </c>
      <c r="B479" s="601" t="str">
        <f t="shared" si="7"/>
        <v xml:space="preserve">ABERCROMBIE </v>
      </c>
      <c r="C479" s="601" t="str">
        <f>MID(Table3[[#This Row],[Statement Code]],FIND("- ",Table3[[#This Row],[Statement Code]])+2,100)</f>
        <v>BOOK VALUE PER SHARE</v>
      </c>
      <c r="D479" s="602" t="s">
        <v>1342</v>
      </c>
      <c r="E479" s="601" t="s">
        <v>1310</v>
      </c>
      <c r="F479" s="601" t="s">
        <v>551</v>
      </c>
      <c r="G479" s="601">
        <v>16.864000000000001</v>
      </c>
      <c r="H479" s="601">
        <v>15.01</v>
      </c>
      <c r="I479" s="601">
        <v>15.590999999999999</v>
      </c>
      <c r="J479" s="601">
        <v>14.18</v>
      </c>
      <c r="K479" s="601">
        <v>20.498000000000001</v>
      </c>
      <c r="L479" s="601" t="s">
        <v>23</v>
      </c>
    </row>
    <row r="480" spans="1:12">
      <c r="A480" s="601" t="s">
        <v>1343</v>
      </c>
      <c r="B480" s="601" t="str">
        <f t="shared" si="7"/>
        <v xml:space="preserve">ABERCROMBIE </v>
      </c>
      <c r="C480" s="601" t="str">
        <f>MID(Table3[[#This Row],[Statement Code]],FIND("- ",Table3[[#This Row],[Statement Code]])+2,100)</f>
        <v>CAPITAL EXPENDITURES</v>
      </c>
      <c r="D480" s="602" t="s">
        <v>1344</v>
      </c>
      <c r="E480" s="601" t="s">
        <v>1310</v>
      </c>
      <c r="F480" s="601" t="s">
        <v>551</v>
      </c>
      <c r="G480" s="601">
        <v>202784</v>
      </c>
      <c r="H480" s="601">
        <v>101910</v>
      </c>
      <c r="I480" s="601">
        <v>96979</v>
      </c>
      <c r="J480" s="601">
        <v>164566</v>
      </c>
      <c r="K480" s="601">
        <v>157797</v>
      </c>
      <c r="L480" s="601" t="s">
        <v>23</v>
      </c>
    </row>
    <row r="481" spans="1:12" hidden="1">
      <c r="A481" s="601" t="s">
        <v>1345</v>
      </c>
      <c r="B481" s="601" t="str">
        <f t="shared" si="7"/>
        <v xml:space="preserve">ABERCROMBIE </v>
      </c>
      <c r="C481" s="601" t="str">
        <f>MID(Table3[[#This Row],[Statement Code]],FIND("- ",Table3[[#This Row],[Statement Code]])+2,100)</f>
        <v>CASH</v>
      </c>
      <c r="D481" s="602" t="s">
        <v>1346</v>
      </c>
      <c r="E481" s="601" t="s">
        <v>1310</v>
      </c>
      <c r="F481" s="601" t="s">
        <v>551</v>
      </c>
      <c r="G481" s="601">
        <v>671267</v>
      </c>
      <c r="H481" s="601">
        <v>1104862</v>
      </c>
      <c r="I481" s="601">
        <v>823139</v>
      </c>
      <c r="J481" s="601">
        <v>517602</v>
      </c>
      <c r="K481" s="601">
        <v>900884</v>
      </c>
      <c r="L481" s="601" t="s">
        <v>23</v>
      </c>
    </row>
    <row r="482" spans="1:12" hidden="1">
      <c r="A482" s="601" t="s">
        <v>1347</v>
      </c>
      <c r="B482" s="601" t="str">
        <f t="shared" si="7"/>
        <v xml:space="preserve">ABERCROMBIE </v>
      </c>
      <c r="C482" s="601" t="str">
        <f>MID(Table3[[#This Row],[Statement Code]],FIND("- ",Table3[[#This Row],[Statement Code]])+2,100)</f>
        <v>CASH - GENERIC</v>
      </c>
      <c r="D482" s="602" t="s">
        <v>1348</v>
      </c>
      <c r="E482" s="601" t="s">
        <v>1310</v>
      </c>
      <c r="F482" s="601" t="s">
        <v>551</v>
      </c>
      <c r="G482" s="601">
        <v>673236</v>
      </c>
      <c r="H482" s="601">
        <v>1104862</v>
      </c>
      <c r="I482" s="601">
        <v>823139</v>
      </c>
      <c r="J482" s="601">
        <v>517602</v>
      </c>
      <c r="K482" s="601">
        <v>900884</v>
      </c>
      <c r="L482" s="601" t="s">
        <v>23</v>
      </c>
    </row>
    <row r="483" spans="1:12">
      <c r="A483" s="601" t="s">
        <v>1349</v>
      </c>
      <c r="B483" s="601" t="str">
        <f t="shared" si="7"/>
        <v xml:space="preserve">ABERCROMBIE </v>
      </c>
      <c r="C483" s="601" t="str">
        <f>MID(Table3[[#This Row],[Statement Code]],FIND("- ",Table3[[#This Row],[Statement Code]])+2,100)</f>
        <v>CASH &amp; SHORT TERM INVESTMENTS</v>
      </c>
      <c r="D483" s="602" t="s">
        <v>1350</v>
      </c>
      <c r="E483" s="601" t="s">
        <v>1310</v>
      </c>
      <c r="F483" s="601" t="s">
        <v>551</v>
      </c>
      <c r="G483" s="601">
        <v>673236</v>
      </c>
      <c r="H483" s="601">
        <v>1104862</v>
      </c>
      <c r="I483" s="601">
        <v>823139</v>
      </c>
      <c r="J483" s="601">
        <v>517602</v>
      </c>
      <c r="K483" s="601">
        <v>900884</v>
      </c>
      <c r="L483" s="601" t="s">
        <v>23</v>
      </c>
    </row>
    <row r="484" spans="1:12" hidden="1">
      <c r="A484" s="601" t="s">
        <v>1351</v>
      </c>
      <c r="B484" s="601" t="str">
        <f t="shared" si="7"/>
        <v xml:space="preserve">ABERCROMBIE </v>
      </c>
      <c r="C484" s="601" t="str">
        <f>MID(Table3[[#This Row],[Statement Code]],FIND("- ",Table3[[#This Row],[Statement Code]])+2,100)</f>
        <v>CASH DIVIDENDS PAID - TOTAL</v>
      </c>
      <c r="D484" s="602" t="s">
        <v>1352</v>
      </c>
      <c r="E484" s="601" t="s">
        <v>1310</v>
      </c>
      <c r="F484" s="601" t="s">
        <v>551</v>
      </c>
      <c r="G484" s="601">
        <v>51510</v>
      </c>
      <c r="H484" s="601">
        <v>12556</v>
      </c>
      <c r="I484" s="601">
        <v>0</v>
      </c>
      <c r="J484" s="601">
        <v>0</v>
      </c>
      <c r="K484" s="601">
        <v>0</v>
      </c>
      <c r="L484" s="601" t="s">
        <v>23</v>
      </c>
    </row>
    <row r="485" spans="1:12" hidden="1">
      <c r="A485" s="601" t="s">
        <v>1353</v>
      </c>
      <c r="B485" s="601" t="str">
        <f t="shared" si="7"/>
        <v xml:space="preserve">ABERCROMBIE </v>
      </c>
      <c r="C485" s="601" t="str">
        <f>MID(Table3[[#This Row],[Statement Code]],FIND("- ",Table3[[#This Row],[Statement Code]])+2,100)</f>
        <v>CASH FLOW PER SHARE</v>
      </c>
      <c r="D485" s="602" t="s">
        <v>1354</v>
      </c>
      <c r="E485" s="601" t="s">
        <v>1310</v>
      </c>
      <c r="F485" s="601" t="s">
        <v>551</v>
      </c>
      <c r="G485" s="601">
        <v>4.1109999999999998</v>
      </c>
      <c r="H485" s="601">
        <v>3.0259999999999998</v>
      </c>
      <c r="I485" s="601">
        <v>6.9279999999999999</v>
      </c>
      <c r="J485" s="601">
        <v>3.7770000000000001</v>
      </c>
      <c r="K485" s="601">
        <v>10.025</v>
      </c>
      <c r="L485" s="601" t="s">
        <v>23</v>
      </c>
    </row>
    <row r="486" spans="1:12" hidden="1">
      <c r="A486" s="601" t="s">
        <v>1355</v>
      </c>
      <c r="B486" s="601" t="str">
        <f t="shared" si="7"/>
        <v xml:space="preserve">ABERCROMBIE </v>
      </c>
      <c r="C486" s="601" t="str">
        <f>MID(Table3[[#This Row],[Statement Code]],FIND("- ",Table3[[#This Row],[Statement Code]])+2,100)</f>
        <v>CASH FLOW PER SHARE - FIS YR</v>
      </c>
      <c r="D486" s="602" t="s">
        <v>1356</v>
      </c>
      <c r="E486" s="601" t="s">
        <v>1310</v>
      </c>
      <c r="F486" s="601" t="s">
        <v>551</v>
      </c>
      <c r="G486" s="601">
        <v>4.1109999999999998</v>
      </c>
      <c r="H486" s="601">
        <v>3.0259999999999998</v>
      </c>
      <c r="I486" s="601">
        <v>6.9279999999999999</v>
      </c>
      <c r="J486" s="601">
        <v>3.7770000000000001</v>
      </c>
      <c r="K486" s="601">
        <v>10.025</v>
      </c>
      <c r="L486" s="601" t="s">
        <v>23</v>
      </c>
    </row>
    <row r="487" spans="1:12" hidden="1">
      <c r="A487" s="601" t="s">
        <v>1357</v>
      </c>
      <c r="B487" s="601" t="str">
        <f t="shared" si="7"/>
        <v xml:space="preserve">ABERCROMBIE </v>
      </c>
      <c r="C487" s="601" t="str">
        <f>MID(Table3[[#This Row],[Statement Code]],FIND("- ",Table3[[#This Row],[Statement Code]])+2,100)</f>
        <v>COMMON DIVIDENDS (CASH)</v>
      </c>
      <c r="D487" s="602" t="s">
        <v>1358</v>
      </c>
      <c r="E487" s="601" t="s">
        <v>1310</v>
      </c>
      <c r="F487" s="601" t="s">
        <v>551</v>
      </c>
      <c r="G487" s="601">
        <v>51510</v>
      </c>
      <c r="H487" s="601">
        <v>12556</v>
      </c>
      <c r="I487" s="601">
        <v>0</v>
      </c>
      <c r="J487" s="601">
        <v>0</v>
      </c>
      <c r="K487" s="601">
        <v>0</v>
      </c>
      <c r="L487" s="601" t="s">
        <v>23</v>
      </c>
    </row>
    <row r="488" spans="1:12" hidden="1">
      <c r="A488" s="601" t="s">
        <v>1359</v>
      </c>
      <c r="B488" s="601" t="str">
        <f t="shared" si="7"/>
        <v xml:space="preserve">ABERCROMBIE </v>
      </c>
      <c r="C488" s="601" t="str">
        <f>MID(Table3[[#This Row],[Statement Code]],FIND("- ",Table3[[#This Row],[Statement Code]])+2,100)</f>
        <v>COMMON SHAREHOLDERS' EQUITY</v>
      </c>
      <c r="D488" s="602" t="s">
        <v>1360</v>
      </c>
      <c r="E488" s="601" t="s">
        <v>1310</v>
      </c>
      <c r="F488" s="601" t="s">
        <v>551</v>
      </c>
      <c r="G488" s="601">
        <v>1058810</v>
      </c>
      <c r="H488" s="601">
        <v>936628</v>
      </c>
      <c r="I488" s="601">
        <v>826090</v>
      </c>
      <c r="J488" s="601">
        <v>694841</v>
      </c>
      <c r="K488" s="601">
        <v>1035160</v>
      </c>
      <c r="L488" s="601" t="s">
        <v>23</v>
      </c>
    </row>
    <row r="489" spans="1:12">
      <c r="A489" s="601" t="s">
        <v>1361</v>
      </c>
      <c r="B489" s="601" t="str">
        <f t="shared" si="7"/>
        <v xml:space="preserve">ABERCROMBIE </v>
      </c>
      <c r="C489" s="601" t="str">
        <f>MID(Table3[[#This Row],[Statement Code]],FIND("- ",Table3[[#This Row],[Statement Code]])+2,100)</f>
        <v>COMMON STOCK</v>
      </c>
      <c r="D489" s="602" t="s">
        <v>1362</v>
      </c>
      <c r="E489" s="601" t="s">
        <v>1310</v>
      </c>
      <c r="F489" s="601" t="s">
        <v>551</v>
      </c>
      <c r="G489" s="601">
        <v>1033</v>
      </c>
      <c r="H489" s="601">
        <v>1033</v>
      </c>
      <c r="I489" s="601">
        <v>1033</v>
      </c>
      <c r="J489" s="601">
        <v>1033</v>
      </c>
      <c r="K489" s="601">
        <v>1033</v>
      </c>
      <c r="L489" s="601" t="s">
        <v>23</v>
      </c>
    </row>
    <row r="490" spans="1:12" hidden="1">
      <c r="A490" s="601" t="s">
        <v>1363</v>
      </c>
      <c r="B490" s="601" t="str">
        <f t="shared" si="7"/>
        <v xml:space="preserve">ABERCROMBIE </v>
      </c>
      <c r="C490" s="601" t="str">
        <f>MID(Table3[[#This Row],[Statement Code]],FIND("- ",Table3[[#This Row],[Statement Code]])+2,100)</f>
        <v>COST OF GOODS SOLD (EXCL DEP)</v>
      </c>
      <c r="D490" s="602" t="s">
        <v>1364</v>
      </c>
      <c r="E490" s="601" t="s">
        <v>1310</v>
      </c>
      <c r="F490" s="601" t="s">
        <v>551</v>
      </c>
      <c r="G490" s="601">
        <v>1298530</v>
      </c>
      <c r="H490" s="601">
        <v>1010872</v>
      </c>
      <c r="I490" s="601">
        <v>1256738</v>
      </c>
      <c r="J490" s="601">
        <v>1460970</v>
      </c>
      <c r="K490" s="601">
        <v>1446161</v>
      </c>
      <c r="L490" s="601" t="s">
        <v>23</v>
      </c>
    </row>
    <row r="491" spans="1:12">
      <c r="A491" s="601" t="s">
        <v>1365</v>
      </c>
      <c r="B491" s="601" t="str">
        <f t="shared" si="7"/>
        <v xml:space="preserve">ABERCROMBIE </v>
      </c>
      <c r="C491" s="601" t="str">
        <f>MID(Table3[[#This Row],[Statement Code]],FIND("- ",Table3[[#This Row],[Statement Code]])+2,100)</f>
        <v>CURRENT ASSETS - TOTAL</v>
      </c>
      <c r="D491" s="602" t="s">
        <v>1366</v>
      </c>
      <c r="E491" s="601" t="s">
        <v>1310</v>
      </c>
      <c r="F491" s="601" t="s">
        <v>551</v>
      </c>
      <c r="G491" s="601">
        <v>1264749</v>
      </c>
      <c r="H491" s="601">
        <v>1661629</v>
      </c>
      <c r="I491" s="601">
        <v>1507759</v>
      </c>
      <c r="J491" s="601">
        <v>1228018</v>
      </c>
      <c r="K491" s="601">
        <v>1537265</v>
      </c>
      <c r="L491" s="601" t="s">
        <v>23</v>
      </c>
    </row>
    <row r="492" spans="1:12">
      <c r="A492" s="601" t="s">
        <v>1367</v>
      </c>
      <c r="B492" s="601" t="str">
        <f t="shared" si="7"/>
        <v xml:space="preserve">ABERCROMBIE </v>
      </c>
      <c r="C492" s="601" t="str">
        <f>MID(Table3[[#This Row],[Statement Code]],FIND("- ",Table3[[#This Row],[Statement Code]])+2,100)</f>
        <v>CURRENT LIABILITIES-TOTAL</v>
      </c>
      <c r="D492" s="602" t="s">
        <v>1368</v>
      </c>
      <c r="E492" s="601" t="s">
        <v>1310</v>
      </c>
      <c r="F492" s="601" t="s">
        <v>551</v>
      </c>
      <c r="G492" s="601">
        <v>815354</v>
      </c>
      <c r="H492" s="601">
        <v>959399</v>
      </c>
      <c r="I492" s="601">
        <v>1015240</v>
      </c>
      <c r="J492" s="601">
        <v>902200</v>
      </c>
      <c r="K492" s="601">
        <v>966820</v>
      </c>
      <c r="L492" s="601" t="s">
        <v>23</v>
      </c>
    </row>
    <row r="493" spans="1:12" hidden="1">
      <c r="A493" s="601" t="s">
        <v>1369</v>
      </c>
      <c r="B493" s="601" t="str">
        <f t="shared" si="7"/>
        <v xml:space="preserve">ABERCROMBIE </v>
      </c>
      <c r="C493" s="601" t="str">
        <f>MID(Table3[[#This Row],[Statement Code]],FIND("- ",Table3[[#This Row],[Statement Code]])+2,100)</f>
        <v>DEFERRED TAXES</v>
      </c>
      <c r="D493" s="602" t="s">
        <v>1370</v>
      </c>
      <c r="E493" s="601" t="s">
        <v>1310</v>
      </c>
      <c r="F493" s="601" t="s">
        <v>551</v>
      </c>
      <c r="G493" s="601">
        <v>74903</v>
      </c>
      <c r="H493" s="601" t="s">
        <v>23</v>
      </c>
      <c r="I493" s="601" t="s">
        <v>23</v>
      </c>
      <c r="J493" s="601" t="s">
        <v>23</v>
      </c>
      <c r="K493" s="601" t="s">
        <v>23</v>
      </c>
      <c r="L493" s="601" t="s">
        <v>23</v>
      </c>
    </row>
    <row r="494" spans="1:12" hidden="1">
      <c r="A494" s="601" t="s">
        <v>1371</v>
      </c>
      <c r="B494" s="601" t="str">
        <f t="shared" si="7"/>
        <v xml:space="preserve">ABERCROMBIE </v>
      </c>
      <c r="C494" s="601" t="str">
        <f>MID(Table3[[#This Row],[Statement Code]],FIND("- ",Table3[[#This Row],[Statement Code]])+2,100)</f>
        <v>DEPRECIATION AND DEPLETION</v>
      </c>
      <c r="D494" s="602" t="s">
        <v>1372</v>
      </c>
      <c r="E494" s="601" t="s">
        <v>1310</v>
      </c>
      <c r="F494" s="601" t="s">
        <v>551</v>
      </c>
      <c r="G494" s="601">
        <v>173625</v>
      </c>
      <c r="H494" s="601">
        <v>166281</v>
      </c>
      <c r="I494" s="601">
        <v>144035</v>
      </c>
      <c r="J494" s="601">
        <v>132243</v>
      </c>
      <c r="K494" s="601">
        <v>141104</v>
      </c>
      <c r="L494" s="601" t="s">
        <v>23</v>
      </c>
    </row>
    <row r="495" spans="1:12">
      <c r="A495" s="601" t="s">
        <v>1373</v>
      </c>
      <c r="B495" s="601" t="str">
        <f t="shared" si="7"/>
        <v xml:space="preserve">ABERCROMBIE </v>
      </c>
      <c r="C495" s="601" t="str">
        <f>MID(Table3[[#This Row],[Statement Code]],FIND("- ",Table3[[#This Row],[Statement Code]])+2,100)</f>
        <v>DEPRECIATION/DEPLETION/AMORT</v>
      </c>
      <c r="D495" s="602" t="s">
        <v>1374</v>
      </c>
      <c r="E495" s="601" t="s">
        <v>1310</v>
      </c>
      <c r="F495" s="601" t="s">
        <v>551</v>
      </c>
      <c r="G495" s="601">
        <v>173625</v>
      </c>
      <c r="H495" s="601">
        <v>166281</v>
      </c>
      <c r="I495" s="601">
        <v>144035</v>
      </c>
      <c r="J495" s="601">
        <v>132243</v>
      </c>
      <c r="K495" s="601">
        <v>141104</v>
      </c>
      <c r="L495" s="601" t="s">
        <v>23</v>
      </c>
    </row>
    <row r="496" spans="1:12" hidden="1">
      <c r="A496" s="601" t="s">
        <v>1375</v>
      </c>
      <c r="B496" s="601" t="str">
        <f t="shared" si="7"/>
        <v xml:space="preserve">ABERCROMBIE </v>
      </c>
      <c r="C496" s="601" t="str">
        <f>MID(Table3[[#This Row],[Statement Code]],FIND("- ",Table3[[#This Row],[Statement Code]])+2,100)</f>
        <v>DIVIDENDS PER SHARE</v>
      </c>
      <c r="D496" s="602" t="s">
        <v>1376</v>
      </c>
      <c r="E496" s="601" t="s">
        <v>1310</v>
      </c>
      <c r="F496" s="601" t="s">
        <v>551</v>
      </c>
      <c r="G496" s="601">
        <v>0.8</v>
      </c>
      <c r="H496" s="601">
        <v>0.2</v>
      </c>
      <c r="I496" s="601">
        <v>0</v>
      </c>
      <c r="J496" s="601">
        <v>0</v>
      </c>
      <c r="K496" s="601">
        <v>0</v>
      </c>
      <c r="L496" s="601" t="s">
        <v>23</v>
      </c>
    </row>
    <row r="497" spans="1:12" hidden="1">
      <c r="A497" s="601" t="s">
        <v>1377</v>
      </c>
      <c r="B497" s="601" t="str">
        <f t="shared" si="7"/>
        <v xml:space="preserve">ABERCROMBIE </v>
      </c>
      <c r="C497" s="601" t="str">
        <f>MID(Table3[[#This Row],[Statement Code]],FIND("- ",Table3[[#This Row],[Statement Code]])+2,100)</f>
        <v>DIVIDENDS PER SHARE - FISCAL</v>
      </c>
      <c r="D497" s="602" t="s">
        <v>1378</v>
      </c>
      <c r="E497" s="601" t="s">
        <v>1310</v>
      </c>
      <c r="F497" s="601" t="s">
        <v>551</v>
      </c>
      <c r="G497" s="601">
        <v>0.8</v>
      </c>
      <c r="H497" s="601">
        <v>0.2</v>
      </c>
      <c r="I497" s="601">
        <v>0</v>
      </c>
      <c r="J497" s="601">
        <v>0</v>
      </c>
      <c r="K497" s="601">
        <v>0</v>
      </c>
      <c r="L497" s="601" t="s">
        <v>23</v>
      </c>
    </row>
    <row r="498" spans="1:12">
      <c r="A498" s="601" t="s">
        <v>1379</v>
      </c>
      <c r="B498" s="601" t="str">
        <f t="shared" si="7"/>
        <v xml:space="preserve">ABERCROMBIE </v>
      </c>
      <c r="C498" s="601" t="str">
        <f>MID(Table3[[#This Row],[Statement Code]],FIND("- ",Table3[[#This Row],[Statement Code]])+2,100)</f>
        <v>EARNINGS BEF INTEREST &amp; TAXES</v>
      </c>
      <c r="D498" s="602" t="s">
        <v>1380</v>
      </c>
      <c r="E498" s="601" t="s">
        <v>1310</v>
      </c>
      <c r="F498" s="601" t="s">
        <v>551</v>
      </c>
      <c r="G498" s="601">
        <v>82239</v>
      </c>
      <c r="H498" s="601">
        <v>-17017</v>
      </c>
      <c r="I498" s="601">
        <v>346932</v>
      </c>
      <c r="J498" s="601">
        <v>97352</v>
      </c>
      <c r="K498" s="601">
        <v>512651</v>
      </c>
      <c r="L498" s="601" t="s">
        <v>23</v>
      </c>
    </row>
    <row r="499" spans="1:12" hidden="1">
      <c r="A499" s="601" t="s">
        <v>1381</v>
      </c>
      <c r="B499" s="601" t="str">
        <f t="shared" si="7"/>
        <v xml:space="preserve">ABERCROMBIE </v>
      </c>
      <c r="C499" s="601" t="str">
        <f>MID(Table3[[#This Row],[Statement Code]],FIND("- ",Table3[[#This Row],[Statement Code]])+2,100)</f>
        <v>EBIT &amp; DEPRECIATION</v>
      </c>
      <c r="D499" s="602" t="s">
        <v>1382</v>
      </c>
      <c r="E499" s="601" t="s">
        <v>1310</v>
      </c>
      <c r="F499" s="601" t="s">
        <v>551</v>
      </c>
      <c r="G499" s="601">
        <v>255864</v>
      </c>
      <c r="H499" s="601">
        <v>149264</v>
      </c>
      <c r="I499" s="601">
        <v>490967</v>
      </c>
      <c r="J499" s="601">
        <v>229595</v>
      </c>
      <c r="K499" s="601">
        <v>653755</v>
      </c>
      <c r="L499" s="601" t="s">
        <v>23</v>
      </c>
    </row>
    <row r="500" spans="1:12" hidden="1">
      <c r="A500" s="601" t="s">
        <v>1383</v>
      </c>
      <c r="B500" s="601" t="str">
        <f t="shared" si="7"/>
        <v xml:space="preserve">ABERCROMBIE </v>
      </c>
      <c r="C500" s="601" t="str">
        <f>MID(Table3[[#This Row],[Statement Code]],FIND("- ",Table3[[#This Row],[Statement Code]])+2,100)</f>
        <v>EARNINGS PER SHARE</v>
      </c>
      <c r="D500" s="602" t="s">
        <v>1384</v>
      </c>
      <c r="E500" s="601" t="s">
        <v>1310</v>
      </c>
      <c r="F500" s="601" t="s">
        <v>551</v>
      </c>
      <c r="G500" s="601">
        <v>0.59799999999999998</v>
      </c>
      <c r="H500" s="601">
        <v>-1.823</v>
      </c>
      <c r="I500" s="601">
        <v>4.1989999999999998</v>
      </c>
      <c r="J500" s="601">
        <v>5.3999999999999999E-2</v>
      </c>
      <c r="K500" s="601">
        <v>6.2229999999999999</v>
      </c>
      <c r="L500" s="601" t="s">
        <v>23</v>
      </c>
    </row>
    <row r="501" spans="1:12" hidden="1">
      <c r="A501" s="601" t="s">
        <v>1385</v>
      </c>
      <c r="B501" s="601" t="str">
        <f t="shared" si="7"/>
        <v xml:space="preserve">ABERCROMBIE </v>
      </c>
      <c r="C501" s="601" t="str">
        <f>MID(Table3[[#This Row],[Statement Code]],FIND("- ",Table3[[#This Row],[Statement Code]])+2,100)</f>
        <v>FISCAL EPS-FULLY DILUTED-YR</v>
      </c>
      <c r="D501" s="602" t="s">
        <v>1386</v>
      </c>
      <c r="E501" s="601" t="s">
        <v>1310</v>
      </c>
      <c r="F501" s="601" t="s">
        <v>551</v>
      </c>
      <c r="G501" s="601">
        <v>0.59799999999999998</v>
      </c>
      <c r="H501" s="601">
        <v>-1.823</v>
      </c>
      <c r="I501" s="601">
        <v>4.1989999999999998</v>
      </c>
      <c r="J501" s="601">
        <v>5.3999999999999999E-2</v>
      </c>
      <c r="K501" s="601">
        <v>6.2229999999999999</v>
      </c>
      <c r="L501" s="601" t="s">
        <v>23</v>
      </c>
    </row>
    <row r="502" spans="1:12" hidden="1">
      <c r="A502" s="601" t="s">
        <v>1387</v>
      </c>
      <c r="B502" s="601" t="str">
        <f t="shared" si="7"/>
        <v xml:space="preserve">ABERCROMBIE </v>
      </c>
      <c r="C502" s="601" t="str">
        <f>MID(Table3[[#This Row],[Statement Code]],FIND("- ",Table3[[#This Row],[Statement Code]])+2,100)</f>
        <v>ENTERPRISE VALUE</v>
      </c>
      <c r="D502" s="602" t="s">
        <v>1388</v>
      </c>
      <c r="E502" s="601" t="s">
        <v>1310</v>
      </c>
      <c r="F502" s="601" t="s">
        <v>551</v>
      </c>
      <c r="G502" s="601">
        <v>600300</v>
      </c>
      <c r="H502" s="601">
        <v>691277</v>
      </c>
      <c r="I502" s="601">
        <v>1425092</v>
      </c>
      <c r="J502" s="601">
        <v>1129168</v>
      </c>
      <c r="K502" s="601">
        <v>4864297</v>
      </c>
      <c r="L502" s="601" t="s">
        <v>23</v>
      </c>
    </row>
    <row r="503" spans="1:12">
      <c r="A503" s="601" t="s">
        <v>1389</v>
      </c>
      <c r="B503" s="601" t="str">
        <f t="shared" si="7"/>
        <v xml:space="preserve">ABERCROMBIE </v>
      </c>
      <c r="C503" s="601" t="str">
        <f>MID(Table3[[#This Row],[Statement Code]],FIND("- ",Table3[[#This Row],[Statement Code]])+2,100)</f>
        <v>GROSS INCOME</v>
      </c>
      <c r="D503" s="602" t="s">
        <v>1390</v>
      </c>
      <c r="E503" s="601" t="s">
        <v>1310</v>
      </c>
      <c r="F503" s="601" t="s">
        <v>551</v>
      </c>
      <c r="G503" s="601">
        <v>2150918</v>
      </c>
      <c r="H503" s="601">
        <v>1948231</v>
      </c>
      <c r="I503" s="601">
        <v>2311995</v>
      </c>
      <c r="J503" s="601">
        <v>2104538</v>
      </c>
      <c r="K503" s="601">
        <v>2693412</v>
      </c>
      <c r="L503" s="601" t="s">
        <v>23</v>
      </c>
    </row>
    <row r="504" spans="1:12">
      <c r="A504" s="601" t="s">
        <v>1391</v>
      </c>
      <c r="B504" s="601" t="str">
        <f t="shared" si="7"/>
        <v xml:space="preserve">ABERCROMBIE </v>
      </c>
      <c r="C504" s="601" t="str">
        <f>MID(Table3[[#This Row],[Statement Code]],FIND("- ",Table3[[#This Row],[Statement Code]])+2,100)</f>
        <v>INCOME TAXES</v>
      </c>
      <c r="D504" s="602" t="s">
        <v>1392</v>
      </c>
      <c r="E504" s="601" t="s">
        <v>1310</v>
      </c>
      <c r="F504" s="601" t="s">
        <v>551</v>
      </c>
      <c r="G504" s="601">
        <v>17371</v>
      </c>
      <c r="H504" s="601">
        <v>60211</v>
      </c>
      <c r="I504" s="601">
        <v>38908</v>
      </c>
      <c r="J504" s="601">
        <v>56631</v>
      </c>
      <c r="K504" s="601">
        <v>148886</v>
      </c>
      <c r="L504" s="601" t="s">
        <v>23</v>
      </c>
    </row>
    <row r="505" spans="1:12" hidden="1">
      <c r="A505" s="601" t="s">
        <v>1393</v>
      </c>
      <c r="B505" s="601" t="str">
        <f t="shared" si="7"/>
        <v xml:space="preserve">ABERCROMBIE </v>
      </c>
      <c r="C505" s="601" t="str">
        <f>MID(Table3[[#This Row],[Statement Code]],FIND("- ",Table3[[#This Row],[Statement Code]])+2,100)</f>
        <v>INCREASE/DECREASE IN CASH/SHOR</v>
      </c>
      <c r="D505" s="602" t="s">
        <v>1394</v>
      </c>
      <c r="E505" s="601" t="s">
        <v>1310</v>
      </c>
      <c r="F505" s="601" t="s">
        <v>551</v>
      </c>
      <c r="G505" s="601">
        <v>-53565</v>
      </c>
      <c r="H505" s="601">
        <v>431893</v>
      </c>
      <c r="I505" s="601">
        <v>-289789</v>
      </c>
      <c r="J505" s="601">
        <v>-306799</v>
      </c>
      <c r="K505" s="601">
        <v>382116</v>
      </c>
      <c r="L505" s="601" t="s">
        <v>23</v>
      </c>
    </row>
    <row r="506" spans="1:12">
      <c r="A506" s="601" t="s">
        <v>1395</v>
      </c>
      <c r="B506" s="601" t="str">
        <f t="shared" si="7"/>
        <v xml:space="preserve">ABERCROMBIE </v>
      </c>
      <c r="C506" s="601" t="str">
        <f>MID(Table3[[#This Row],[Statement Code]],FIND("- ",Table3[[#This Row],[Statement Code]])+2,100)</f>
        <v>INTEREST EXPENSE ON DEBT</v>
      </c>
      <c r="D506" s="602" t="s">
        <v>1396</v>
      </c>
      <c r="E506" s="601" t="s">
        <v>1310</v>
      </c>
      <c r="F506" s="601" t="s">
        <v>551</v>
      </c>
      <c r="G506" s="601">
        <v>19908</v>
      </c>
      <c r="H506" s="601">
        <v>31726</v>
      </c>
      <c r="I506" s="601">
        <v>37958</v>
      </c>
      <c r="J506" s="601">
        <v>30336</v>
      </c>
      <c r="K506" s="601">
        <v>28352</v>
      </c>
      <c r="L506" s="601" t="s">
        <v>23</v>
      </c>
    </row>
    <row r="507" spans="1:12" hidden="1">
      <c r="A507" s="601" t="s">
        <v>1397</v>
      </c>
      <c r="B507" s="601" t="str">
        <f t="shared" si="7"/>
        <v xml:space="preserve">ABERCROMBIE </v>
      </c>
      <c r="C507" s="601" t="str">
        <f>MID(Table3[[#This Row],[Statement Code]],FIND("- ",Table3[[#This Row],[Statement Code]])+2,100)</f>
        <v>TOTAL INVENTORIES</v>
      </c>
      <c r="D507" s="602" t="s">
        <v>1398</v>
      </c>
      <c r="E507" s="601" t="s">
        <v>1310</v>
      </c>
      <c r="F507" s="601" t="s">
        <v>551</v>
      </c>
      <c r="G507" s="601">
        <v>434326</v>
      </c>
      <c r="H507" s="601">
        <v>404053</v>
      </c>
      <c r="I507" s="601">
        <v>525864</v>
      </c>
      <c r="J507" s="601">
        <v>505621</v>
      </c>
      <c r="K507" s="601">
        <v>469466</v>
      </c>
      <c r="L507" s="601" t="s">
        <v>23</v>
      </c>
    </row>
    <row r="508" spans="1:12">
      <c r="A508" s="601" t="s">
        <v>1399</v>
      </c>
      <c r="B508" s="601" t="str">
        <f t="shared" si="7"/>
        <v xml:space="preserve">ABERCROMBIE </v>
      </c>
      <c r="C508" s="601" t="str">
        <f>MID(Table3[[#This Row],[Statement Code]],FIND("- ",Table3[[#This Row],[Statement Code]])+2,100)</f>
        <v>LONG TERM DEBT</v>
      </c>
      <c r="D508" s="602" t="s">
        <v>1400</v>
      </c>
      <c r="E508" s="601" t="s">
        <v>1310</v>
      </c>
      <c r="F508" s="601" t="s">
        <v>551</v>
      </c>
      <c r="G508" s="601">
        <v>231963</v>
      </c>
      <c r="H508" s="601">
        <v>343910</v>
      </c>
      <c r="I508" s="601">
        <v>303574</v>
      </c>
      <c r="J508" s="601">
        <v>296852</v>
      </c>
      <c r="K508" s="601">
        <v>222119</v>
      </c>
      <c r="L508" s="601" t="s">
        <v>23</v>
      </c>
    </row>
    <row r="509" spans="1:12" hidden="1">
      <c r="A509" s="601" t="s">
        <v>1401</v>
      </c>
      <c r="B509" s="601" t="str">
        <f t="shared" si="7"/>
        <v xml:space="preserve">ABERCROMBIE </v>
      </c>
      <c r="C509" s="601" t="str">
        <f>MID(Table3[[#This Row],[Statement Code]],FIND("- ",Table3[[#This Row],[Statement Code]])+2,100)</f>
        <v>MARKET CAPITALIZATION</v>
      </c>
      <c r="D509" s="602" t="s">
        <v>1402</v>
      </c>
      <c r="E509" s="601" t="s">
        <v>1310</v>
      </c>
      <c r="F509" s="601" t="s">
        <v>551</v>
      </c>
      <c r="G509" s="601">
        <v>1085570</v>
      </c>
      <c r="H509" s="601">
        <v>1270444</v>
      </c>
      <c r="I509" s="601">
        <v>1845468</v>
      </c>
      <c r="J509" s="601">
        <v>1122636</v>
      </c>
      <c r="K509" s="601">
        <v>4455110</v>
      </c>
      <c r="L509" s="601" t="s">
        <v>23</v>
      </c>
    </row>
    <row r="510" spans="1:12" hidden="1">
      <c r="A510" s="601" t="s">
        <v>1403</v>
      </c>
      <c r="B510" s="601" t="str">
        <f t="shared" si="7"/>
        <v xml:space="preserve">ABERCROMBIE </v>
      </c>
      <c r="C510" s="601" t="str">
        <f>MID(Table3[[#This Row],[Statement Code]],FIND("- ",Table3[[#This Row],[Statement Code]])+2,100)</f>
        <v>NET CASH FLOW - FINANCING</v>
      </c>
      <c r="D510" s="602" t="s">
        <v>1404</v>
      </c>
      <c r="E510" s="601" t="s">
        <v>1310</v>
      </c>
      <c r="F510" s="601" t="s">
        <v>551</v>
      </c>
      <c r="G510" s="601">
        <v>-147873</v>
      </c>
      <c r="H510" s="601">
        <v>69717</v>
      </c>
      <c r="I510" s="601">
        <v>-446898</v>
      </c>
      <c r="J510" s="601">
        <v>-155329</v>
      </c>
      <c r="K510" s="601">
        <v>-111201</v>
      </c>
      <c r="L510" s="601" t="s">
        <v>23</v>
      </c>
    </row>
    <row r="511" spans="1:12" hidden="1">
      <c r="A511" s="601" t="s">
        <v>1405</v>
      </c>
      <c r="B511" s="601" t="str">
        <f t="shared" si="7"/>
        <v xml:space="preserve">ABERCROMBIE </v>
      </c>
      <c r="C511" s="601" t="str">
        <f>MID(Table3[[#This Row],[Statement Code]],FIND("- ",Table3[[#This Row],[Statement Code]])+2,100)</f>
        <v>NET CASH FLOW - INVESTING</v>
      </c>
      <c r="D511" s="602" t="s">
        <v>1406</v>
      </c>
      <c r="E511" s="601" t="s">
        <v>1310</v>
      </c>
      <c r="F511" s="601" t="s">
        <v>551</v>
      </c>
      <c r="G511" s="601">
        <v>202784</v>
      </c>
      <c r="H511" s="601">
        <v>51910</v>
      </c>
      <c r="I511" s="601">
        <v>96979</v>
      </c>
      <c r="J511" s="601">
        <v>140675</v>
      </c>
      <c r="K511" s="601">
        <v>157182</v>
      </c>
      <c r="L511" s="601" t="s">
        <v>23</v>
      </c>
    </row>
    <row r="512" spans="1:12" hidden="1">
      <c r="A512" s="601" t="s">
        <v>1407</v>
      </c>
      <c r="B512" s="601" t="str">
        <f t="shared" si="7"/>
        <v xml:space="preserve">ABERCROMBIE </v>
      </c>
      <c r="C512" s="601" t="str">
        <f>MID(Table3[[#This Row],[Statement Code]],FIND("- ",Table3[[#This Row],[Statement Code]])+2,100)</f>
        <v>NET CASH FLOW-OPERATING ACTIVS</v>
      </c>
      <c r="D512" s="602" t="s">
        <v>1408</v>
      </c>
      <c r="E512" s="601" t="s">
        <v>1310</v>
      </c>
      <c r="F512" s="601" t="s">
        <v>551</v>
      </c>
      <c r="G512" s="601">
        <v>300685</v>
      </c>
      <c r="H512" s="601">
        <v>404918</v>
      </c>
      <c r="I512" s="601">
        <v>277782</v>
      </c>
      <c r="J512" s="601">
        <v>-2343</v>
      </c>
      <c r="K512" s="601">
        <v>653422</v>
      </c>
      <c r="L512" s="601" t="s">
        <v>23</v>
      </c>
    </row>
    <row r="513" spans="1:12" hidden="1">
      <c r="A513" s="601" t="s">
        <v>1409</v>
      </c>
      <c r="B513" s="601" t="str">
        <f t="shared" si="7"/>
        <v xml:space="preserve">ABERCROMBIE </v>
      </c>
      <c r="C513" s="601" t="str">
        <f>MID(Table3[[#This Row],[Statement Code]],FIND("- ",Table3[[#This Row],[Statement Code]])+2,100)</f>
        <v>NET DEBT</v>
      </c>
      <c r="D513" s="602" t="s">
        <v>1410</v>
      </c>
      <c r="E513" s="601" t="s">
        <v>1310</v>
      </c>
      <c r="F513" s="601" t="s">
        <v>551</v>
      </c>
      <c r="G513" s="601">
        <v>-439247</v>
      </c>
      <c r="H513" s="601">
        <v>-760952</v>
      </c>
      <c r="I513" s="601">
        <v>-519565</v>
      </c>
      <c r="J513" s="601">
        <v>-220750</v>
      </c>
      <c r="K513" s="601">
        <v>-678765</v>
      </c>
      <c r="L513" s="601" t="s">
        <v>23</v>
      </c>
    </row>
    <row r="514" spans="1:12">
      <c r="A514" s="601" t="s">
        <v>1411</v>
      </c>
      <c r="B514" s="601" t="str">
        <f t="shared" si="7"/>
        <v xml:space="preserve">ABERCROMBIE </v>
      </c>
      <c r="C514" s="601" t="str">
        <f>MID(Table3[[#This Row],[Statement Code]],FIND("- ",Table3[[#This Row],[Statement Code]])+2,100)</f>
        <v>NET INCOME - DILUTED</v>
      </c>
      <c r="D514" s="602" t="s">
        <v>1412</v>
      </c>
      <c r="E514" s="601" t="s">
        <v>1310</v>
      </c>
      <c r="F514" s="601" t="s">
        <v>551</v>
      </c>
      <c r="G514" s="601">
        <v>39358</v>
      </c>
      <c r="H514" s="601">
        <v>-114021</v>
      </c>
      <c r="I514" s="601">
        <v>263010</v>
      </c>
      <c r="J514" s="601">
        <v>2816</v>
      </c>
      <c r="K514" s="601">
        <v>328123</v>
      </c>
      <c r="L514" s="601" t="s">
        <v>23</v>
      </c>
    </row>
    <row r="515" spans="1:12">
      <c r="A515" s="601" t="s">
        <v>1413</v>
      </c>
      <c r="B515" s="601" t="str">
        <f t="shared" ref="B515:B578" si="8">LEFT(A515,FIND(" ",A515))</f>
        <v xml:space="preserve">ABERCROMBIE </v>
      </c>
      <c r="C515" s="601" t="str">
        <f>MID(Table3[[#This Row],[Statement Code]],FIND("- ",Table3[[#This Row],[Statement Code]])+2,100)</f>
        <v>NET SALES OR REVENUES</v>
      </c>
      <c r="D515" s="602" t="s">
        <v>1414</v>
      </c>
      <c r="E515" s="601" t="s">
        <v>1310</v>
      </c>
      <c r="F515" s="601" t="s">
        <v>551</v>
      </c>
      <c r="G515" s="601">
        <v>3623073</v>
      </c>
      <c r="H515" s="601">
        <v>3125384</v>
      </c>
      <c r="I515" s="601">
        <v>3712768</v>
      </c>
      <c r="J515" s="601">
        <v>3697751</v>
      </c>
      <c r="K515" s="601">
        <v>4280677</v>
      </c>
      <c r="L515" s="601" t="s">
        <v>23</v>
      </c>
    </row>
    <row r="516" spans="1:12" hidden="1">
      <c r="A516" s="601" t="s">
        <v>1415</v>
      </c>
      <c r="B516" s="601" t="str">
        <f t="shared" si="8"/>
        <v xml:space="preserve">ABERCROMBIE </v>
      </c>
      <c r="C516" s="601" t="str">
        <f>MID(Table3[[#This Row],[Statement Code]],FIND("- ",Table3[[#This Row],[Statement Code]])+2,100)</f>
        <v>NON-OPERATING INTEREST INCOME</v>
      </c>
      <c r="D516" s="602" t="s">
        <v>1416</v>
      </c>
      <c r="E516" s="601" t="s">
        <v>1310</v>
      </c>
      <c r="F516" s="601" t="s">
        <v>551</v>
      </c>
      <c r="G516" s="601">
        <v>12171</v>
      </c>
      <c r="H516" s="601">
        <v>3452</v>
      </c>
      <c r="I516" s="601">
        <v>3848</v>
      </c>
      <c r="J516" s="601">
        <v>4604</v>
      </c>
      <c r="K516" s="601">
        <v>29980</v>
      </c>
      <c r="L516" s="601" t="s">
        <v>23</v>
      </c>
    </row>
    <row r="517" spans="1:12" hidden="1">
      <c r="A517" s="601" t="s">
        <v>1417</v>
      </c>
      <c r="B517" s="601" t="str">
        <f t="shared" si="8"/>
        <v xml:space="preserve">ABERCROMBIE </v>
      </c>
      <c r="C517" s="601" t="str">
        <f>MID(Table3[[#This Row],[Statement Code]],FIND("- ",Table3[[#This Row],[Statement Code]])+2,100)</f>
        <v>OPERATING EXPENSES - TOTAL</v>
      </c>
      <c r="D517" s="602" t="s">
        <v>1418</v>
      </c>
      <c r="E517" s="601" t="s">
        <v>1310</v>
      </c>
      <c r="F517" s="601" t="s">
        <v>551</v>
      </c>
      <c r="G517" s="601">
        <v>3488013</v>
      </c>
      <c r="H517" s="601">
        <v>3032580</v>
      </c>
      <c r="I517" s="601">
        <v>3361764</v>
      </c>
      <c r="J517" s="601">
        <v>3593746</v>
      </c>
      <c r="K517" s="601">
        <v>3793590</v>
      </c>
      <c r="L517" s="601" t="s">
        <v>23</v>
      </c>
    </row>
    <row r="518" spans="1:12">
      <c r="A518" s="601" t="s">
        <v>1419</v>
      </c>
      <c r="B518" s="601" t="str">
        <f t="shared" si="8"/>
        <v xml:space="preserve">ABERCROMBIE </v>
      </c>
      <c r="C518" s="601" t="str">
        <f>MID(Table3[[#This Row],[Statement Code]],FIND("- ",Table3[[#This Row],[Statement Code]])+2,100)</f>
        <v>OPERATING INCOME</v>
      </c>
      <c r="D518" s="602" t="s">
        <v>1420</v>
      </c>
      <c r="E518" s="601" t="s">
        <v>1310</v>
      </c>
      <c r="F518" s="601" t="s">
        <v>551</v>
      </c>
      <c r="G518" s="601">
        <v>135060</v>
      </c>
      <c r="H518" s="601">
        <v>92804</v>
      </c>
      <c r="I518" s="601">
        <v>351004</v>
      </c>
      <c r="J518" s="601">
        <v>104005</v>
      </c>
      <c r="K518" s="601">
        <v>487087</v>
      </c>
      <c r="L518" s="601" t="s">
        <v>23</v>
      </c>
    </row>
    <row r="519" spans="1:12" hidden="1">
      <c r="A519" s="601" t="s">
        <v>1421</v>
      </c>
      <c r="B519" s="601" t="str">
        <f t="shared" si="8"/>
        <v xml:space="preserve">ABERCROMBIE </v>
      </c>
      <c r="C519" s="601" t="str">
        <f>MID(Table3[[#This Row],[Statement Code]],FIND("- ",Table3[[#This Row],[Statement Code]])+2,100)</f>
        <v>PRETAX INCOME</v>
      </c>
      <c r="D519" s="602" t="s">
        <v>1422</v>
      </c>
      <c r="E519" s="601" t="s">
        <v>1310</v>
      </c>
      <c r="F519" s="601" t="s">
        <v>551</v>
      </c>
      <c r="G519" s="601">
        <v>62331</v>
      </c>
      <c r="H519" s="601">
        <v>-48743</v>
      </c>
      <c r="I519" s="601">
        <v>308974</v>
      </c>
      <c r="J519" s="601">
        <v>67016</v>
      </c>
      <c r="K519" s="601">
        <v>484299</v>
      </c>
      <c r="L519" s="601" t="s">
        <v>23</v>
      </c>
    </row>
    <row r="520" spans="1:12" hidden="1">
      <c r="A520" s="601" t="s">
        <v>1423</v>
      </c>
      <c r="B520" s="601" t="str">
        <f t="shared" si="8"/>
        <v xml:space="preserve">ABERCROMBIE </v>
      </c>
      <c r="C520" s="601" t="str">
        <f>MID(Table3[[#This Row],[Statement Code]],FIND("- ",Table3[[#This Row],[Statement Code]])+2,100)</f>
        <v>PROPERTY, PLANT &amp; EQUIP - NET</v>
      </c>
      <c r="D520" s="602" t="s">
        <v>1424</v>
      </c>
      <c r="E520" s="601" t="s">
        <v>1310</v>
      </c>
      <c r="F520" s="601" t="s">
        <v>551</v>
      </c>
      <c r="G520" s="601">
        <v>1896244</v>
      </c>
      <c r="H520" s="601">
        <v>1444576</v>
      </c>
      <c r="I520" s="601">
        <v>1206567</v>
      </c>
      <c r="J520" s="601">
        <v>1275135</v>
      </c>
      <c r="K520" s="601">
        <v>1216289</v>
      </c>
      <c r="L520" s="601" t="s">
        <v>23</v>
      </c>
    </row>
    <row r="521" spans="1:12" hidden="1">
      <c r="A521" s="601" t="s">
        <v>1425</v>
      </c>
      <c r="B521" s="601" t="str">
        <f t="shared" si="8"/>
        <v xml:space="preserve">ABERCROMBIE </v>
      </c>
      <c r="C521" s="601" t="str">
        <f>MID(Table3[[#This Row],[Statement Code]],FIND("- ",Table3[[#This Row],[Statement Code]])+2,100)</f>
        <v>RECEIVABLES(NET)</v>
      </c>
      <c r="D521" s="602" t="s">
        <v>1426</v>
      </c>
      <c r="E521" s="601" t="s">
        <v>1310</v>
      </c>
      <c r="F521" s="601" t="s">
        <v>551</v>
      </c>
      <c r="G521" s="601">
        <v>80251</v>
      </c>
      <c r="H521" s="601">
        <v>83857</v>
      </c>
      <c r="I521" s="601">
        <v>69102</v>
      </c>
      <c r="J521" s="601">
        <v>104506</v>
      </c>
      <c r="K521" s="601">
        <v>78346</v>
      </c>
      <c r="L521" s="601" t="s">
        <v>23</v>
      </c>
    </row>
    <row r="522" spans="1:12">
      <c r="A522" s="601" t="s">
        <v>1427</v>
      </c>
      <c r="B522" s="601" t="str">
        <f t="shared" si="8"/>
        <v xml:space="preserve">ABERCROMBIE </v>
      </c>
      <c r="C522" s="601" t="str">
        <f>MID(Table3[[#This Row],[Statement Code]],FIND("- ",Table3[[#This Row],[Statement Code]])+2,100)</f>
        <v>SELLING, GENERAL &amp; ADMINISTRAT</v>
      </c>
      <c r="D522" s="602" t="s">
        <v>1428</v>
      </c>
      <c r="E522" s="601" t="s">
        <v>1310</v>
      </c>
      <c r="F522" s="601" t="s">
        <v>551</v>
      </c>
      <c r="G522" s="601">
        <v>2015858</v>
      </c>
      <c r="H522" s="601">
        <v>1855427</v>
      </c>
      <c r="I522" s="601">
        <v>1966291</v>
      </c>
      <c r="J522" s="601">
        <v>2000533</v>
      </c>
      <c r="K522" s="601">
        <v>2206325</v>
      </c>
      <c r="L522" s="601" t="s">
        <v>23</v>
      </c>
    </row>
    <row r="523" spans="1:12" hidden="1">
      <c r="A523" s="601" t="s">
        <v>1429</v>
      </c>
      <c r="B523" s="601" t="str">
        <f t="shared" si="8"/>
        <v xml:space="preserve">ABERCROMBIE </v>
      </c>
      <c r="C523" s="601" t="str">
        <f>MID(Table3[[#This Row],[Statement Code]],FIND("- ",Table3[[#This Row],[Statement Code]])+2,100)</f>
        <v>SHORT TERM DEBT &amp; CURRENT PORT</v>
      </c>
      <c r="D523" s="602" t="s">
        <v>1430</v>
      </c>
      <c r="E523" s="601" t="s">
        <v>1310</v>
      </c>
      <c r="F523" s="601" t="s">
        <v>551</v>
      </c>
      <c r="G523" s="601">
        <v>2026</v>
      </c>
      <c r="H523" s="601">
        <v>0</v>
      </c>
      <c r="I523" s="601">
        <v>0</v>
      </c>
      <c r="J523" s="601">
        <v>0</v>
      </c>
      <c r="K523" s="601">
        <v>0</v>
      </c>
      <c r="L523" s="601" t="s">
        <v>23</v>
      </c>
    </row>
    <row r="524" spans="1:12">
      <c r="A524" s="601" t="s">
        <v>1431</v>
      </c>
      <c r="B524" s="601" t="str">
        <f t="shared" si="8"/>
        <v xml:space="preserve">ABERCROMBIE </v>
      </c>
      <c r="C524" s="601" t="str">
        <f>MID(Table3[[#This Row],[Statement Code]],FIND("- ",Table3[[#This Row],[Statement Code]])+2,100)</f>
        <v>TOTAL ASSETS</v>
      </c>
      <c r="D524" s="602" t="s">
        <v>1432</v>
      </c>
      <c r="E524" s="601" t="s">
        <v>1310</v>
      </c>
      <c r="F524" s="601" t="s">
        <v>551</v>
      </c>
      <c r="G524" s="601">
        <v>3549665</v>
      </c>
      <c r="H524" s="601">
        <v>3314902</v>
      </c>
      <c r="I524" s="601">
        <v>2939491</v>
      </c>
      <c r="J524" s="601">
        <v>2713100</v>
      </c>
      <c r="K524" s="601">
        <v>2974233</v>
      </c>
      <c r="L524" s="601" t="s">
        <v>23</v>
      </c>
    </row>
    <row r="525" spans="1:12" hidden="1">
      <c r="A525" s="601" t="s">
        <v>1433</v>
      </c>
      <c r="B525" s="601" t="str">
        <f t="shared" si="8"/>
        <v xml:space="preserve">ABERCROMBIE </v>
      </c>
      <c r="C525" s="601" t="str">
        <f>MID(Table3[[#This Row],[Statement Code]],FIND("- ",Table3[[#This Row],[Statement Code]])+2,100)</f>
        <v>TOTAL CAPITAL</v>
      </c>
      <c r="D525" s="602" t="s">
        <v>1434</v>
      </c>
      <c r="E525" s="601" t="s">
        <v>1310</v>
      </c>
      <c r="F525" s="601" t="s">
        <v>551</v>
      </c>
      <c r="G525" s="601">
        <v>1303141</v>
      </c>
      <c r="H525" s="601">
        <v>1293222</v>
      </c>
      <c r="I525" s="601">
        <v>1140898</v>
      </c>
      <c r="J525" s="601">
        <v>1003421</v>
      </c>
      <c r="K525" s="601">
        <v>1272106</v>
      </c>
      <c r="L525" s="601" t="s">
        <v>23</v>
      </c>
    </row>
    <row r="526" spans="1:12">
      <c r="A526" s="601" t="s">
        <v>1435</v>
      </c>
      <c r="B526" s="601" t="str">
        <f t="shared" si="8"/>
        <v xml:space="preserve">ABERCROMBIE </v>
      </c>
      <c r="C526" s="601" t="str">
        <f>MID(Table3[[#This Row],[Statement Code]],FIND("- ",Table3[[#This Row],[Statement Code]])+2,100)</f>
        <v>TOTAL DEBT</v>
      </c>
      <c r="D526" s="602" t="s">
        <v>1436</v>
      </c>
      <c r="E526" s="601" t="s">
        <v>1310</v>
      </c>
      <c r="F526" s="601" t="s">
        <v>551</v>
      </c>
      <c r="G526" s="601">
        <v>233989</v>
      </c>
      <c r="H526" s="601">
        <v>343910</v>
      </c>
      <c r="I526" s="601">
        <v>303574</v>
      </c>
      <c r="J526" s="601">
        <v>296852</v>
      </c>
      <c r="K526" s="601">
        <v>222119</v>
      </c>
      <c r="L526" s="601" t="s">
        <v>23</v>
      </c>
    </row>
    <row r="527" spans="1:12" hidden="1">
      <c r="A527" s="601" t="s">
        <v>1437</v>
      </c>
      <c r="B527" s="601" t="str">
        <f t="shared" si="8"/>
        <v xml:space="preserve">ABERCROMBIE </v>
      </c>
      <c r="C527" s="601" t="str">
        <f>MID(Table3[[#This Row],[Statement Code]],FIND("- ",Table3[[#This Row],[Statement Code]])+2,100)</f>
        <v>TOTAL INTANGIBLE OT ASSETS-NET</v>
      </c>
      <c r="D527" s="602" t="s">
        <v>1438</v>
      </c>
      <c r="E527" s="601" t="s">
        <v>1310</v>
      </c>
      <c r="F527" s="601" t="s">
        <v>551</v>
      </c>
      <c r="G527" s="601">
        <v>0</v>
      </c>
      <c r="H527" s="601">
        <v>0</v>
      </c>
      <c r="I527" s="601">
        <v>0</v>
      </c>
      <c r="J527" s="601">
        <v>0</v>
      </c>
      <c r="K527" s="601">
        <v>0</v>
      </c>
      <c r="L527" s="601" t="s">
        <v>23</v>
      </c>
    </row>
    <row r="528" spans="1:12">
      <c r="A528" s="601" t="s">
        <v>1439</v>
      </c>
      <c r="B528" s="601" t="str">
        <f t="shared" si="8"/>
        <v xml:space="preserve">ABERCROMBIE </v>
      </c>
      <c r="C528" s="601" t="str">
        <f>MID(Table3[[#This Row],[Statement Code]],FIND("- ",Table3[[#This Row],[Statement Code]])+2,100)</f>
        <v>TOTAL LIABILITIES</v>
      </c>
      <c r="D528" s="602" t="s">
        <v>1440</v>
      </c>
      <c r="E528" s="601" t="s">
        <v>1310</v>
      </c>
      <c r="F528" s="601" t="s">
        <v>551</v>
      </c>
      <c r="G528" s="601">
        <v>2478487</v>
      </c>
      <c r="H528" s="601">
        <v>2365590</v>
      </c>
      <c r="I528" s="601">
        <v>2102167</v>
      </c>
      <c r="J528" s="601">
        <v>2006531</v>
      </c>
      <c r="K528" s="601">
        <v>1924246</v>
      </c>
      <c r="L528" s="601" t="s">
        <v>23</v>
      </c>
    </row>
    <row r="529" spans="1:12" hidden="1">
      <c r="A529" s="601" t="s">
        <v>1441</v>
      </c>
      <c r="B529" s="601" t="str">
        <f t="shared" si="8"/>
        <v xml:space="preserve">ABERCROMBIE </v>
      </c>
      <c r="C529" s="601" t="str">
        <f>MID(Table3[[#This Row],[Statement Code]],FIND("- ",Table3[[#This Row],[Statement Code]])+2,100)</f>
        <v>TOTAL LIABILITIES &amp; SHAREHOLDE</v>
      </c>
      <c r="D529" s="602" t="s">
        <v>1442</v>
      </c>
      <c r="E529" s="601" t="s">
        <v>1310</v>
      </c>
      <c r="F529" s="601" t="s">
        <v>551</v>
      </c>
      <c r="G529" s="601">
        <v>3549665</v>
      </c>
      <c r="H529" s="601">
        <v>3314902</v>
      </c>
      <c r="I529" s="601">
        <v>2939491</v>
      </c>
      <c r="J529" s="601">
        <v>2713100</v>
      </c>
      <c r="K529" s="601">
        <v>2974233</v>
      </c>
      <c r="L529" s="601" t="s">
        <v>23</v>
      </c>
    </row>
    <row r="530" spans="1:12" hidden="1">
      <c r="A530" s="601" t="s">
        <v>1443</v>
      </c>
      <c r="B530" s="601" t="str">
        <f t="shared" si="8"/>
        <v xml:space="preserve">ABERCROMBIE </v>
      </c>
      <c r="C530" s="601" t="str">
        <f>MID(Table3[[#This Row],[Statement Code]],FIND("- ",Table3[[#This Row],[Statement Code]])+2,100)</f>
        <v>TOTAL SHAREHOLDERS EQUITY</v>
      </c>
      <c r="D530" s="602" t="s">
        <v>1444</v>
      </c>
      <c r="E530" s="601" t="s">
        <v>1310</v>
      </c>
      <c r="F530" s="601" t="s">
        <v>551</v>
      </c>
      <c r="G530" s="601">
        <v>1058810</v>
      </c>
      <c r="H530" s="601">
        <v>936628</v>
      </c>
      <c r="I530" s="601">
        <v>826090</v>
      </c>
      <c r="J530" s="601">
        <v>694841</v>
      </c>
      <c r="K530" s="601">
        <v>1035160</v>
      </c>
      <c r="L530" s="601" t="s">
        <v>23</v>
      </c>
    </row>
    <row r="531" spans="1:12" hidden="1">
      <c r="A531" s="601" t="s">
        <v>1445</v>
      </c>
      <c r="B531" s="601" t="str">
        <f t="shared" si="8"/>
        <v xml:space="preserve">ABERCROMBIE </v>
      </c>
      <c r="C531" s="601" t="str">
        <f>MID(Table3[[#This Row],[Statement Code]],FIND("- ",Table3[[#This Row],[Statement Code]])+2,100)</f>
        <v>WORKING CAPITAL</v>
      </c>
      <c r="D531" s="602" t="s">
        <v>1446</v>
      </c>
      <c r="E531" s="601" t="s">
        <v>1310</v>
      </c>
      <c r="F531" s="601" t="s">
        <v>551</v>
      </c>
      <c r="G531" s="601">
        <v>449395</v>
      </c>
      <c r="H531" s="601">
        <v>702230</v>
      </c>
      <c r="I531" s="601">
        <v>492519</v>
      </c>
      <c r="J531" s="601">
        <v>325818</v>
      </c>
      <c r="K531" s="601">
        <v>570445</v>
      </c>
      <c r="L531" s="601" t="s">
        <v>23</v>
      </c>
    </row>
    <row r="532" spans="1:12" hidden="1">
      <c r="A532" s="601" t="s">
        <v>1447</v>
      </c>
      <c r="B532" s="601" t="str">
        <f t="shared" si="8"/>
        <v xml:space="preserve">ABERCROMBIE </v>
      </c>
      <c r="C532" s="601" t="str">
        <f>MID(Table3[[#This Row],[Statement Code]],FIND("- ",Table3[[#This Row],[Statement Code]])+2,100)</f>
        <v>BK VAL PS 12M FWD</v>
      </c>
      <c r="D532" s="602" t="s">
        <v>1448</v>
      </c>
      <c r="E532" s="601" t="s">
        <v>1310</v>
      </c>
      <c r="F532" s="601" t="s">
        <v>551</v>
      </c>
      <c r="G532" s="601">
        <v>19.170000000000002</v>
      </c>
      <c r="H532" s="601">
        <v>14.57</v>
      </c>
      <c r="I532" s="601">
        <v>19.78</v>
      </c>
      <c r="J532" s="601">
        <v>14.85</v>
      </c>
      <c r="K532" s="601">
        <v>21.49</v>
      </c>
      <c r="L532" s="601">
        <v>41.14</v>
      </c>
    </row>
    <row r="533" spans="1:12" hidden="1">
      <c r="A533" s="601" t="s">
        <v>1449</v>
      </c>
      <c r="B533" s="601" t="str">
        <f t="shared" si="8"/>
        <v xml:space="preserve">ABERCROMBIE </v>
      </c>
      <c r="C533" s="601" t="str">
        <f>MID(Table3[[#This Row],[Statement Code]],FIND("- ",Table3[[#This Row],[Statement Code]])+2,100)</f>
        <v>EV 12M FWD</v>
      </c>
      <c r="D533" s="602" t="s">
        <v>1450</v>
      </c>
      <c r="E533" s="601" t="s">
        <v>1310</v>
      </c>
      <c r="F533" s="601" t="s">
        <v>551</v>
      </c>
      <c r="G533" s="601">
        <v>1578635</v>
      </c>
      <c r="H533" s="601">
        <v>604606.69999999995</v>
      </c>
      <c r="I533" s="601">
        <v>1611200</v>
      </c>
      <c r="J533" s="601">
        <v>714086.7</v>
      </c>
      <c r="K533" s="601">
        <v>2233160</v>
      </c>
      <c r="L533" s="601">
        <v>6813828</v>
      </c>
    </row>
    <row r="534" spans="1:12" hidden="1">
      <c r="A534" s="601" t="s">
        <v>1451</v>
      </c>
      <c r="B534" s="601" t="str">
        <f t="shared" si="8"/>
        <v xml:space="preserve">ABERCROMBIE </v>
      </c>
      <c r="C534" s="601" t="str">
        <f>MID(Table3[[#This Row],[Statement Code]],FIND("- ",Table3[[#This Row],[Statement Code]])+2,100)</f>
        <v>NET INCOME 12M FWD</v>
      </c>
      <c r="D534" s="602" t="s">
        <v>1452</v>
      </c>
      <c r="E534" s="601" t="s">
        <v>1310</v>
      </c>
      <c r="F534" s="601" t="s">
        <v>551</v>
      </c>
      <c r="G534" s="601">
        <v>82320</v>
      </c>
      <c r="H534" s="601">
        <v>-8640</v>
      </c>
      <c r="I534" s="601">
        <v>247503.3</v>
      </c>
      <c r="J534" s="601">
        <v>49539.99</v>
      </c>
      <c r="K534" s="601">
        <v>223856.7</v>
      </c>
      <c r="L534" s="601">
        <v>562262.19999999995</v>
      </c>
    </row>
    <row r="535" spans="1:12" hidden="1">
      <c r="A535" s="601" t="s">
        <v>1453</v>
      </c>
      <c r="B535" s="601" t="str">
        <f t="shared" si="8"/>
        <v xml:space="preserve">ABERCROMBIE </v>
      </c>
      <c r="C535" s="601" t="str">
        <f>MID(Table3[[#This Row],[Statement Code]],FIND("- ",Table3[[#This Row],[Statement Code]])+2,100)</f>
        <v>PRETAX PRF 12M FWD</v>
      </c>
      <c r="D535" s="602" t="s">
        <v>1454</v>
      </c>
      <c r="E535" s="601" t="s">
        <v>1310</v>
      </c>
      <c r="F535" s="601" t="s">
        <v>551</v>
      </c>
      <c r="G535" s="601">
        <v>115742.5</v>
      </c>
      <c r="H535" s="601">
        <v>25553.33</v>
      </c>
      <c r="I535" s="601">
        <v>315633.3</v>
      </c>
      <c r="J535" s="601">
        <v>72773.31</v>
      </c>
      <c r="K535" s="601">
        <v>348786.6</v>
      </c>
      <c r="L535" s="601">
        <v>755640.6</v>
      </c>
    </row>
    <row r="536" spans="1:12" hidden="1">
      <c r="A536" s="601" t="s">
        <v>1455</v>
      </c>
      <c r="B536" s="601" t="str">
        <f t="shared" si="8"/>
        <v xml:space="preserve">ABERCROMBIE </v>
      </c>
      <c r="C536" s="601" t="str">
        <f>MID(Table3[[#This Row],[Statement Code]],FIND("- ",Table3[[#This Row],[Statement Code]])+2,100)</f>
        <v>ROE 12M FWD</v>
      </c>
      <c r="D536" s="602" t="s">
        <v>1456</v>
      </c>
      <c r="E536" s="601" t="s">
        <v>1310</v>
      </c>
      <c r="F536" s="601" t="s">
        <v>551</v>
      </c>
      <c r="G536" s="601">
        <v>4.38</v>
      </c>
      <c r="H536" s="601" t="s">
        <v>23</v>
      </c>
      <c r="I536" s="601">
        <v>22.74</v>
      </c>
      <c r="J536" s="601">
        <v>6.84</v>
      </c>
      <c r="K536" s="601">
        <v>22.65</v>
      </c>
      <c r="L536" s="601">
        <v>34.630000000000003</v>
      </c>
    </row>
    <row r="537" spans="1:12" hidden="1">
      <c r="A537" s="601" t="s">
        <v>1457</v>
      </c>
      <c r="B537" s="601" t="str">
        <f t="shared" si="8"/>
        <v xml:space="preserve">ABERCROMBIE </v>
      </c>
      <c r="C537" s="601" t="str">
        <f>MID(Table3[[#This Row],[Statement Code]],FIND("- ",Table3[[#This Row],[Statement Code]])+2,100)</f>
        <v>SALES 12M FWD</v>
      </c>
      <c r="D537" s="602" t="s">
        <v>1458</v>
      </c>
      <c r="E537" s="601" t="s">
        <v>1310</v>
      </c>
      <c r="F537" s="601" t="s">
        <v>551</v>
      </c>
      <c r="G537" s="601">
        <v>3700011</v>
      </c>
      <c r="H537" s="601">
        <v>3274960</v>
      </c>
      <c r="I537" s="601">
        <v>3822090</v>
      </c>
      <c r="J537" s="601">
        <v>3580143</v>
      </c>
      <c r="K537" s="601">
        <v>4117996</v>
      </c>
      <c r="L537" s="601">
        <v>4997289</v>
      </c>
    </row>
    <row r="538" spans="1:12" hidden="1">
      <c r="A538" s="601" t="s">
        <v>1459</v>
      </c>
      <c r="B538" s="601" t="str">
        <f t="shared" si="8"/>
        <v xml:space="preserve">ABERCROMBIE </v>
      </c>
      <c r="C538" s="601" t="str">
        <f>MID(Table3[[#This Row],[Statement Code]],FIND("- ",Table3[[#This Row],[Statement Code]])+2,100)</f>
        <v>DECREASE/INCR OTH ASTS/LIABILT</v>
      </c>
      <c r="D538" s="602" t="s">
        <v>1460</v>
      </c>
      <c r="E538" s="601" t="s">
        <v>1310</v>
      </c>
      <c r="F538" s="601" t="s">
        <v>551</v>
      </c>
      <c r="G538" s="601">
        <v>22663</v>
      </c>
      <c r="H538" s="601">
        <v>-15179</v>
      </c>
      <c r="I538" s="601">
        <v>-107771</v>
      </c>
      <c r="J538" s="601">
        <v>-95960</v>
      </c>
      <c r="K538" s="601">
        <v>-28920</v>
      </c>
      <c r="L538" s="601" t="s">
        <v>23</v>
      </c>
    </row>
    <row r="539" spans="1:12" hidden="1">
      <c r="A539" s="601" t="s">
        <v>1461</v>
      </c>
      <c r="B539" s="601" t="str">
        <f t="shared" si="8"/>
        <v xml:space="preserve">ABERCROMBIE </v>
      </c>
      <c r="C539" s="601" t="str">
        <f>MID(Table3[[#This Row],[Statement Code]],FIND("- ",Table3[[#This Row],[Statement Code]])+2,100)</f>
        <v>DECREASE/INCREASE INVENTORIES</v>
      </c>
      <c r="D539" s="602" t="s">
        <v>1462</v>
      </c>
      <c r="E539" s="601" t="s">
        <v>1310</v>
      </c>
      <c r="F539" s="601" t="s">
        <v>551</v>
      </c>
      <c r="G539" s="601">
        <v>2270</v>
      </c>
      <c r="H539" s="601">
        <v>33312</v>
      </c>
      <c r="I539" s="601">
        <v>-123221</v>
      </c>
      <c r="J539" s="601">
        <v>18505</v>
      </c>
      <c r="K539" s="601">
        <v>35043</v>
      </c>
      <c r="L539" s="601" t="s">
        <v>23</v>
      </c>
    </row>
    <row r="540" spans="1:12" hidden="1">
      <c r="A540" s="601" t="s">
        <v>1463</v>
      </c>
      <c r="B540" s="601" t="str">
        <f t="shared" si="8"/>
        <v xml:space="preserve">ABERCROMBIE </v>
      </c>
      <c r="C540" s="601" t="str">
        <f>MID(Table3[[#This Row],[Statement Code]],FIND("- ",Table3[[#This Row],[Statement Code]])+2,100)</f>
        <v>DECREASE IN INVESTMENTS</v>
      </c>
      <c r="D540" s="602" t="s">
        <v>1464</v>
      </c>
      <c r="E540" s="601" t="s">
        <v>1310</v>
      </c>
      <c r="F540" s="601" t="s">
        <v>551</v>
      </c>
      <c r="G540" s="601">
        <v>0</v>
      </c>
      <c r="H540" s="601">
        <v>0</v>
      </c>
      <c r="I540" s="601">
        <v>0</v>
      </c>
      <c r="J540" s="601">
        <v>0</v>
      </c>
      <c r="K540" s="601">
        <v>0</v>
      </c>
      <c r="L540" s="601" t="s">
        <v>23</v>
      </c>
    </row>
    <row r="541" spans="1:12" hidden="1">
      <c r="A541" s="601" t="s">
        <v>1465</v>
      </c>
      <c r="B541" s="601" t="str">
        <f t="shared" si="8"/>
        <v xml:space="preserve">FAST </v>
      </c>
      <c r="C541" s="601" t="str">
        <f>MID(Table3[[#This Row],[Statement Code]],FIND("- ",Table3[[#This Row],[Statement Code]])+2,100)</f>
        <v>MARKET VALUE</v>
      </c>
      <c r="D541" s="602" t="s">
        <v>1466</v>
      </c>
      <c r="E541" s="601" t="s">
        <v>1467</v>
      </c>
      <c r="F541" s="601" t="s">
        <v>551</v>
      </c>
      <c r="G541" s="601">
        <v>62877.17</v>
      </c>
      <c r="H541" s="601">
        <v>65415.01</v>
      </c>
      <c r="I541" s="601">
        <v>73704.39</v>
      </c>
      <c r="J541" s="601">
        <v>60112.42</v>
      </c>
      <c r="K541" s="601">
        <v>75419.78</v>
      </c>
      <c r="L541" s="601">
        <v>99559.87</v>
      </c>
    </row>
    <row r="542" spans="1:12" hidden="1">
      <c r="A542" s="601" t="s">
        <v>1468</v>
      </c>
      <c r="B542" s="601" t="str">
        <f t="shared" si="8"/>
        <v xml:space="preserve">FAST </v>
      </c>
      <c r="C542" s="601" t="str">
        <f>MID(Table3[[#This Row],[Statement Code]],FIND("- ",Table3[[#This Row],[Statement Code]])+2,100)</f>
        <v>PER</v>
      </c>
      <c r="D542" s="602" t="s">
        <v>1469</v>
      </c>
      <c r="E542" s="601" t="s">
        <v>1467</v>
      </c>
      <c r="F542" s="601" t="s">
        <v>717</v>
      </c>
      <c r="G542" s="601">
        <v>40.4</v>
      </c>
      <c r="H542" s="601">
        <v>68</v>
      </c>
      <c r="I542" s="601">
        <v>52</v>
      </c>
      <c r="J542" s="601">
        <v>31.3</v>
      </c>
      <c r="K542" s="601">
        <v>38.4</v>
      </c>
      <c r="L542" s="601">
        <v>40.200000000000003</v>
      </c>
    </row>
    <row r="543" spans="1:12" hidden="1">
      <c r="A543" s="601" t="s">
        <v>1470</v>
      </c>
      <c r="B543" s="601" t="str">
        <f t="shared" si="8"/>
        <v xml:space="preserve">FAST </v>
      </c>
      <c r="C543" s="601" t="str">
        <f>MID(Table3[[#This Row],[Statement Code]],FIND("- ",Table3[[#This Row],[Statement Code]])+2,100)</f>
        <v>12MTH FORWARD EPS</v>
      </c>
      <c r="D543" s="602" t="s">
        <v>1471</v>
      </c>
      <c r="E543" s="601" t="s">
        <v>1467</v>
      </c>
      <c r="F543" s="601" t="s">
        <v>551</v>
      </c>
      <c r="G543" s="601">
        <v>5.7779999999999996</v>
      </c>
      <c r="H543" s="601">
        <v>5.077</v>
      </c>
      <c r="I543" s="601">
        <v>6.0019999999999998</v>
      </c>
      <c r="J543" s="601">
        <v>5.0709999999999997</v>
      </c>
      <c r="K543" s="601">
        <v>6.44</v>
      </c>
      <c r="L543" s="601">
        <v>8.3770000000000007</v>
      </c>
    </row>
    <row r="544" spans="1:12" hidden="1">
      <c r="A544" s="601" t="s">
        <v>1472</v>
      </c>
      <c r="B544" s="601" t="str">
        <f t="shared" si="8"/>
        <v xml:space="preserve">FAST </v>
      </c>
      <c r="C544" s="601" t="e">
        <f>MID(Table3[[#This Row],[Statement Code]],FIND("- ",Table3[[#This Row],[Statement Code]])+2,100)</f>
        <v>#VALUE!</v>
      </c>
      <c r="D544" s="602" t="s">
        <v>1473</v>
      </c>
      <c r="E544" s="601" t="s">
        <v>1467</v>
      </c>
      <c r="F544" s="601" t="s">
        <v>1474</v>
      </c>
      <c r="G544" s="601">
        <v>2.9870000000000001</v>
      </c>
      <c r="H544" s="601">
        <v>2.411</v>
      </c>
      <c r="I544" s="601">
        <v>2.6219999999999999</v>
      </c>
      <c r="J544" s="601">
        <v>2.5550000000000002</v>
      </c>
      <c r="K544" s="601">
        <v>2.8010000000000002</v>
      </c>
      <c r="L544" s="601">
        <v>2.6539999999999999</v>
      </c>
    </row>
    <row r="545" spans="1:12" hidden="1">
      <c r="A545" s="601" t="s">
        <v>1472</v>
      </c>
      <c r="B545" s="601" t="str">
        <f t="shared" si="8"/>
        <v xml:space="preserve">FAST </v>
      </c>
      <c r="C545" s="601" t="e">
        <f>MID(Table3[[#This Row],[Statement Code]],FIND("- ",Table3[[#This Row],[Statement Code]])+2,100)</f>
        <v>#VALUE!</v>
      </c>
      <c r="D545" s="602" t="s">
        <v>1475</v>
      </c>
      <c r="E545" s="601" t="s">
        <v>1467</v>
      </c>
      <c r="F545" s="601" t="s">
        <v>23</v>
      </c>
      <c r="G545" s="601" t="s">
        <v>23</v>
      </c>
      <c r="H545" s="601">
        <v>23.887</v>
      </c>
      <c r="I545" s="601">
        <v>25.114000000000001</v>
      </c>
      <c r="J545" s="601">
        <v>23.8</v>
      </c>
      <c r="K545" s="601" t="s">
        <v>23</v>
      </c>
      <c r="L545" s="601">
        <v>25.251000000000001</v>
      </c>
    </row>
    <row r="546" spans="1:12" hidden="1">
      <c r="A546" s="601" t="s">
        <v>1472</v>
      </c>
      <c r="B546" s="601" t="str">
        <f t="shared" si="8"/>
        <v xml:space="preserve">FAST </v>
      </c>
      <c r="C546" s="601" t="e">
        <f>MID(Table3[[#This Row],[Statement Code]],FIND("- ",Table3[[#This Row],[Statement Code]])+2,100)</f>
        <v>#VALUE!</v>
      </c>
      <c r="D546" s="602" t="s">
        <v>1476</v>
      </c>
      <c r="E546" s="601" t="s">
        <v>1467</v>
      </c>
      <c r="F546" s="601" t="s">
        <v>23</v>
      </c>
      <c r="G546" s="601">
        <v>18.016999999999999</v>
      </c>
      <c r="H546" s="601">
        <v>19.027000000000001</v>
      </c>
      <c r="I546" s="601">
        <v>15.9</v>
      </c>
      <c r="J546" s="601">
        <v>15.375</v>
      </c>
      <c r="K546" s="601">
        <v>16.315000000000001</v>
      </c>
      <c r="L546" s="601">
        <v>18.483000000000001</v>
      </c>
    </row>
    <row r="547" spans="1:12" hidden="1">
      <c r="A547" s="601" t="s">
        <v>1472</v>
      </c>
      <c r="B547" s="601" t="str">
        <f t="shared" si="8"/>
        <v xml:space="preserve">FAST </v>
      </c>
      <c r="C547" s="601" t="e">
        <f>MID(Table3[[#This Row],[Statement Code]],FIND("- ",Table3[[#This Row],[Statement Code]])+2,100)</f>
        <v>#VALUE!</v>
      </c>
      <c r="D547" s="602" t="s">
        <v>1477</v>
      </c>
      <c r="E547" s="601" t="s">
        <v>1467</v>
      </c>
      <c r="F547" s="601" t="s">
        <v>1474</v>
      </c>
      <c r="G547" s="601" t="s">
        <v>23</v>
      </c>
      <c r="H547" s="601" t="s">
        <v>23</v>
      </c>
      <c r="I547" s="601" t="s">
        <v>23</v>
      </c>
      <c r="J547" s="601" t="s">
        <v>23</v>
      </c>
      <c r="K547" s="601">
        <v>2.4500000000000002</v>
      </c>
      <c r="L547" s="601">
        <v>1.9259999999999999</v>
      </c>
    </row>
    <row r="548" spans="1:12" hidden="1">
      <c r="A548" s="601" t="s">
        <v>1472</v>
      </c>
      <c r="B548" s="601" t="str">
        <f t="shared" si="8"/>
        <v xml:space="preserve">FAST </v>
      </c>
      <c r="C548" s="601" t="e">
        <f>MID(Table3[[#This Row],[Statement Code]],FIND("- ",Table3[[#This Row],[Statement Code]])+2,100)</f>
        <v>#VALUE!</v>
      </c>
      <c r="D548" s="602" t="s">
        <v>1478</v>
      </c>
      <c r="E548" s="601" t="s">
        <v>1467</v>
      </c>
      <c r="F548" s="601" t="s">
        <v>23</v>
      </c>
      <c r="G548" s="601">
        <v>2.5409999999999999</v>
      </c>
      <c r="H548" s="601">
        <v>2.895</v>
      </c>
      <c r="I548" s="601">
        <v>3.22</v>
      </c>
      <c r="J548" s="601">
        <v>3.2050000000000001</v>
      </c>
      <c r="K548" s="601">
        <v>3.3959999999999999</v>
      </c>
      <c r="L548" s="601">
        <v>4.0339999999999998</v>
      </c>
    </row>
    <row r="549" spans="1:12" hidden="1">
      <c r="A549" s="601" t="s">
        <v>1472</v>
      </c>
      <c r="B549" s="601" t="str">
        <f t="shared" si="8"/>
        <v xml:space="preserve">FAST </v>
      </c>
      <c r="C549" s="601" t="e">
        <f>MID(Table3[[#This Row],[Statement Code]],FIND("- ",Table3[[#This Row],[Statement Code]])+2,100)</f>
        <v>#VALUE!</v>
      </c>
      <c r="D549" s="602" t="s">
        <v>1479</v>
      </c>
      <c r="E549" s="601" t="s">
        <v>1467</v>
      </c>
      <c r="F549" s="601" t="s">
        <v>1474</v>
      </c>
      <c r="G549" s="601">
        <v>-1.8009999999999999</v>
      </c>
      <c r="H549" s="601">
        <v>-1.51</v>
      </c>
      <c r="I549" s="601">
        <v>-1.2869999999999999</v>
      </c>
      <c r="J549" s="601">
        <v>-1.625</v>
      </c>
      <c r="K549" s="601">
        <v>-1.8440000000000001</v>
      </c>
      <c r="L549" s="601">
        <v>-1.5049999999999999</v>
      </c>
    </row>
    <row r="550" spans="1:12" hidden="1">
      <c r="A550" s="601" t="s">
        <v>1472</v>
      </c>
      <c r="B550" s="601" t="str">
        <f t="shared" si="8"/>
        <v xml:space="preserve">FAST </v>
      </c>
      <c r="C550" s="601" t="e">
        <f>MID(Table3[[#This Row],[Statement Code]],FIND("- ",Table3[[#This Row],[Statement Code]])+2,100)</f>
        <v>#VALUE!</v>
      </c>
      <c r="D550" s="602" t="s">
        <v>1480</v>
      </c>
      <c r="E550" s="601" t="s">
        <v>1467</v>
      </c>
      <c r="F550" s="601" t="s">
        <v>1474</v>
      </c>
      <c r="G550" s="601">
        <v>-0.10199999999999999</v>
      </c>
      <c r="H550" s="601">
        <v>-9.0999999999999998E-2</v>
      </c>
      <c r="I550" s="601">
        <v>-8.5999999999999993E-2</v>
      </c>
      <c r="J550" s="601">
        <v>-0.11899999999999999</v>
      </c>
      <c r="K550" s="601">
        <v>-0.129</v>
      </c>
      <c r="L550" s="601">
        <v>-8.2000000000000003E-2</v>
      </c>
    </row>
    <row r="551" spans="1:12" hidden="1">
      <c r="A551" s="601" t="s">
        <v>1472</v>
      </c>
      <c r="B551" s="601" t="str">
        <f t="shared" si="8"/>
        <v xml:space="preserve">FAST </v>
      </c>
      <c r="C551" s="601" t="e">
        <f>MID(Table3[[#This Row],[Statement Code]],FIND("- ",Table3[[#This Row],[Statement Code]])+2,100)</f>
        <v>#VALUE!</v>
      </c>
      <c r="D551" s="602" t="s">
        <v>1481</v>
      </c>
      <c r="E551" s="601" t="s">
        <v>1467</v>
      </c>
      <c r="F551" s="601" t="s">
        <v>23</v>
      </c>
      <c r="G551" s="601">
        <v>2.64</v>
      </c>
      <c r="H551" s="601">
        <v>2.4300000000000002</v>
      </c>
      <c r="I551" s="601">
        <v>2.57</v>
      </c>
      <c r="J551" s="601">
        <v>3.93</v>
      </c>
      <c r="K551" s="601">
        <v>3.23</v>
      </c>
      <c r="L551" s="601">
        <v>3.04</v>
      </c>
    </row>
    <row r="552" spans="1:12" hidden="1">
      <c r="A552" s="601" t="s">
        <v>1472</v>
      </c>
      <c r="B552" s="601" t="str">
        <f t="shared" si="8"/>
        <v xml:space="preserve">FAST </v>
      </c>
      <c r="C552" s="601" t="e">
        <f>MID(Table3[[#This Row],[Statement Code]],FIND("- ",Table3[[#This Row],[Statement Code]])+2,100)</f>
        <v>#VALUE!</v>
      </c>
      <c r="D552" s="602" t="s">
        <v>1482</v>
      </c>
      <c r="E552" s="601" t="s">
        <v>1467</v>
      </c>
      <c r="F552" s="601" t="s">
        <v>1474</v>
      </c>
      <c r="G552" s="601">
        <v>1.63</v>
      </c>
      <c r="H552" s="601">
        <v>1.44</v>
      </c>
      <c r="I552" s="601">
        <v>1.56</v>
      </c>
      <c r="J552" s="601">
        <v>1.76</v>
      </c>
      <c r="K552" s="601">
        <v>1.62</v>
      </c>
      <c r="L552" s="601">
        <v>1.62</v>
      </c>
    </row>
    <row r="553" spans="1:12" hidden="1">
      <c r="A553" s="601" t="s">
        <v>1472</v>
      </c>
      <c r="B553" s="601" t="str">
        <f t="shared" si="8"/>
        <v xml:space="preserve">FAST </v>
      </c>
      <c r="C553" s="601" t="e">
        <f>MID(Table3[[#This Row],[Statement Code]],FIND("- ",Table3[[#This Row],[Statement Code]])+2,100)</f>
        <v>#VALUE!</v>
      </c>
      <c r="D553" s="602" t="s">
        <v>1483</v>
      </c>
      <c r="E553" s="601" t="s">
        <v>1467</v>
      </c>
      <c r="F553" s="601" t="s">
        <v>1474</v>
      </c>
      <c r="G553" s="601">
        <v>5.7220000000000004</v>
      </c>
      <c r="H553" s="601">
        <v>6.01</v>
      </c>
      <c r="I553" s="601">
        <v>6.3239999999999998</v>
      </c>
      <c r="J553" s="601">
        <v>5.7240000000000002</v>
      </c>
      <c r="K553" s="601">
        <v>5.5880000000000001</v>
      </c>
      <c r="L553" s="601">
        <v>6.1609999999999996</v>
      </c>
    </row>
    <row r="554" spans="1:12">
      <c r="A554" s="601" t="s">
        <v>1484</v>
      </c>
      <c r="B554" s="601" t="str">
        <f t="shared" si="8"/>
        <v xml:space="preserve">FAST </v>
      </c>
      <c r="C554" s="601" t="str">
        <f>MID(Table3[[#This Row],[Statement Code]],FIND("- ",Table3[[#This Row],[Statement Code]])+2,100)</f>
        <v>12MTH TRAILING EPS</v>
      </c>
      <c r="D554" s="602" t="s">
        <v>1485</v>
      </c>
      <c r="E554" s="601" t="s">
        <v>1467</v>
      </c>
      <c r="F554" s="601" t="s">
        <v>551</v>
      </c>
      <c r="G554" s="601">
        <v>5.0190000000000001</v>
      </c>
      <c r="H554" s="601">
        <v>3.0859999999999999</v>
      </c>
      <c r="I554" s="601">
        <v>4.9749999999999996</v>
      </c>
      <c r="J554" s="601">
        <v>5.5439999999999996</v>
      </c>
      <c r="K554" s="601">
        <v>5.8730000000000002</v>
      </c>
      <c r="L554" s="601">
        <v>8.1370000000000005</v>
      </c>
    </row>
    <row r="555" spans="1:12" hidden="1">
      <c r="A555" s="601" t="s">
        <v>1486</v>
      </c>
      <c r="B555" s="601" t="str">
        <f t="shared" si="8"/>
        <v xml:space="preserve">FAST </v>
      </c>
      <c r="C555" s="601" t="str">
        <f>MID(Table3[[#This Row],[Statement Code]],FIND("- ",Table3[[#This Row],[Statement Code]])+2,100)</f>
        <v>DIV.PER SHR.</v>
      </c>
      <c r="D555" s="602" t="s">
        <v>1487</v>
      </c>
      <c r="E555" s="601" t="s">
        <v>1467</v>
      </c>
      <c r="F555" s="601" t="s">
        <v>551</v>
      </c>
      <c r="G555" s="601">
        <v>1.48</v>
      </c>
      <c r="H555" s="601">
        <v>1.53</v>
      </c>
      <c r="I555" s="601">
        <v>1.45</v>
      </c>
      <c r="J555" s="601">
        <v>1.21</v>
      </c>
      <c r="K555" s="601">
        <v>1.61</v>
      </c>
      <c r="L555" s="601">
        <v>2.39</v>
      </c>
    </row>
    <row r="556" spans="1:12" hidden="1">
      <c r="A556" s="601" t="s">
        <v>1472</v>
      </c>
      <c r="B556" s="601" t="str">
        <f t="shared" si="8"/>
        <v xml:space="preserve">FAST </v>
      </c>
      <c r="C556" s="601" t="e">
        <f>MID(Table3[[#This Row],[Statement Code]],FIND("- ",Table3[[#This Row],[Statement Code]])+2,100)</f>
        <v>#VALUE!</v>
      </c>
      <c r="D556" s="602" t="s">
        <v>1488</v>
      </c>
      <c r="E556" s="601" t="s">
        <v>1467</v>
      </c>
      <c r="F556" s="601" t="s">
        <v>1474</v>
      </c>
      <c r="G556" s="601">
        <v>0.85499999999999998</v>
      </c>
      <c r="H556" s="601">
        <v>0.76500000000000001</v>
      </c>
      <c r="I556" s="601">
        <v>0.77500000000000002</v>
      </c>
      <c r="J556" s="601">
        <v>0.73599999999999999</v>
      </c>
      <c r="K556" s="601">
        <v>0.91200000000000003</v>
      </c>
      <c r="L556" s="601">
        <v>0.86499999999999999</v>
      </c>
    </row>
    <row r="557" spans="1:12" hidden="1">
      <c r="A557" s="601" t="s">
        <v>1470</v>
      </c>
      <c r="B557" s="601" t="str">
        <f t="shared" si="8"/>
        <v xml:space="preserve">FAST </v>
      </c>
      <c r="C557" s="601" t="str">
        <f>MID(Table3[[#This Row],[Statement Code]],FIND("- ",Table3[[#This Row],[Statement Code]])+2,100)</f>
        <v>12MTH FORWARD EPS</v>
      </c>
      <c r="D557" s="602" t="s">
        <v>1471</v>
      </c>
      <c r="E557" s="601" t="s">
        <v>1467</v>
      </c>
      <c r="F557" s="601" t="s">
        <v>551</v>
      </c>
      <c r="G557" s="601">
        <v>5.7779999999999996</v>
      </c>
      <c r="H557" s="601">
        <v>5.077</v>
      </c>
      <c r="I557" s="601">
        <v>6.0019999999999998</v>
      </c>
      <c r="J557" s="601">
        <v>5.0709999999999997</v>
      </c>
      <c r="K557" s="601">
        <v>6.44</v>
      </c>
      <c r="L557" s="601">
        <v>8.3770000000000007</v>
      </c>
    </row>
    <row r="558" spans="1:12" hidden="1">
      <c r="A558" s="601" t="s">
        <v>1468</v>
      </c>
      <c r="B558" s="601" t="str">
        <f t="shared" si="8"/>
        <v xml:space="preserve">FAST </v>
      </c>
      <c r="C558" s="601" t="str">
        <f>MID(Table3[[#This Row],[Statement Code]],FIND("- ",Table3[[#This Row],[Statement Code]])+2,100)</f>
        <v>PER</v>
      </c>
      <c r="D558" s="602" t="s">
        <v>1469</v>
      </c>
      <c r="E558" s="601" t="s">
        <v>1467</v>
      </c>
      <c r="F558" s="601" t="s">
        <v>717</v>
      </c>
      <c r="G558" s="601">
        <v>40.4</v>
      </c>
      <c r="H558" s="601">
        <v>68</v>
      </c>
      <c r="I558" s="601">
        <v>52</v>
      </c>
      <c r="J558" s="601">
        <v>31.3</v>
      </c>
      <c r="K558" s="601">
        <v>38.4</v>
      </c>
      <c r="L558" s="601">
        <v>40.200000000000003</v>
      </c>
    </row>
    <row r="559" spans="1:12" hidden="1">
      <c r="A559" s="601" t="s">
        <v>1465</v>
      </c>
      <c r="B559" s="601" t="str">
        <f t="shared" si="8"/>
        <v xml:space="preserve">FAST </v>
      </c>
      <c r="C559" s="601" t="str">
        <f>MID(Table3[[#This Row],[Statement Code]],FIND("- ",Table3[[#This Row],[Statement Code]])+2,100)</f>
        <v>MARKET VALUE</v>
      </c>
      <c r="D559" s="602" t="s">
        <v>1466</v>
      </c>
      <c r="E559" s="601" t="s">
        <v>1467</v>
      </c>
      <c r="F559" s="601" t="s">
        <v>551</v>
      </c>
      <c r="G559" s="601">
        <v>62877.17</v>
      </c>
      <c r="H559" s="601">
        <v>65415.01</v>
      </c>
      <c r="I559" s="601">
        <v>73704.39</v>
      </c>
      <c r="J559" s="601">
        <v>60112.42</v>
      </c>
      <c r="K559" s="601">
        <v>75419.78</v>
      </c>
      <c r="L559" s="601">
        <v>99559.87</v>
      </c>
    </row>
    <row r="560" spans="1:12" hidden="1">
      <c r="A560" s="601" t="s">
        <v>1489</v>
      </c>
      <c r="B560" s="601" t="str">
        <f t="shared" si="8"/>
        <v xml:space="preserve">FAST </v>
      </c>
      <c r="C560" s="601" t="str">
        <f>MID(Table3[[#This Row],[Statement Code]],FIND("- ",Table3[[#This Row],[Statement Code]])+2,100)</f>
        <v>EARNINGS PER SHR</v>
      </c>
      <c r="D560" s="602" t="s">
        <v>1490</v>
      </c>
      <c r="E560" s="601" t="s">
        <v>1467</v>
      </c>
      <c r="F560" s="601" t="s">
        <v>551</v>
      </c>
      <c r="G560" s="601">
        <v>4.9800000000000004</v>
      </c>
      <c r="H560" s="601">
        <v>2.96</v>
      </c>
      <c r="I560" s="601">
        <v>4.4800000000000004</v>
      </c>
      <c r="J560" s="601">
        <v>5.85</v>
      </c>
      <c r="K560" s="601">
        <v>6.05</v>
      </c>
      <c r="L560" s="601">
        <v>8.51</v>
      </c>
    </row>
    <row r="561" spans="1:12" hidden="1">
      <c r="A561" s="601" t="s">
        <v>1472</v>
      </c>
      <c r="B561" s="601" t="str">
        <f t="shared" si="8"/>
        <v xml:space="preserve">FAST </v>
      </c>
      <c r="C561" s="601" t="e">
        <f>MID(Table3[[#This Row],[Statement Code]],FIND("- ",Table3[[#This Row],[Statement Code]])+2,100)</f>
        <v>#VALUE!</v>
      </c>
      <c r="D561" s="602" t="s">
        <v>1491</v>
      </c>
      <c r="E561" s="601" t="s">
        <v>1467</v>
      </c>
      <c r="F561" s="601" t="s">
        <v>23</v>
      </c>
      <c r="G561" s="601">
        <v>0.97</v>
      </c>
      <c r="H561" s="601">
        <v>0.79</v>
      </c>
      <c r="I561" s="601">
        <v>0.64</v>
      </c>
      <c r="J561" s="601">
        <v>0.68</v>
      </c>
      <c r="K561" s="601">
        <v>0.6</v>
      </c>
      <c r="L561" s="601">
        <v>0.61</v>
      </c>
    </row>
    <row r="562" spans="1:12" hidden="1">
      <c r="A562" s="601" t="s">
        <v>1472</v>
      </c>
      <c r="B562" s="601" t="str">
        <f t="shared" si="8"/>
        <v xml:space="preserve">FAST </v>
      </c>
      <c r="C562" s="601" t="e">
        <f>MID(Table3[[#This Row],[Statement Code]],FIND("- ",Table3[[#This Row],[Statement Code]])+2,100)</f>
        <v>#VALUE!</v>
      </c>
      <c r="D562" s="602" t="s">
        <v>1492</v>
      </c>
      <c r="E562" s="601" t="s">
        <v>1467</v>
      </c>
      <c r="F562" s="601" t="s">
        <v>23</v>
      </c>
      <c r="G562" s="601">
        <v>0.32229999999999998</v>
      </c>
      <c r="H562" s="601">
        <v>0.3503</v>
      </c>
      <c r="I562" s="601">
        <v>0.31659999999999999</v>
      </c>
      <c r="J562" s="601">
        <v>0.32669999999999999</v>
      </c>
      <c r="K562" s="601">
        <v>0.30199999999999999</v>
      </c>
      <c r="L562" s="601">
        <v>0.29980000000000001</v>
      </c>
    </row>
    <row r="563" spans="1:12" hidden="1">
      <c r="A563" s="601" t="s">
        <v>1493</v>
      </c>
      <c r="B563" s="601" t="str">
        <f t="shared" si="8"/>
        <v xml:space="preserve">FAST </v>
      </c>
      <c r="C563" s="601" t="str">
        <f>MID(Table3[[#This Row],[Statement Code]],FIND("- ",Table3[[#This Row],[Statement Code]])+2,100)</f>
        <v>ACCOUNTS PAYABLE</v>
      </c>
      <c r="D563" s="602" t="s">
        <v>1494</v>
      </c>
      <c r="E563" s="601" t="s">
        <v>1467</v>
      </c>
      <c r="F563" s="601" t="s">
        <v>551</v>
      </c>
      <c r="G563" s="601">
        <v>1175448</v>
      </c>
      <c r="H563" s="601">
        <v>1445128</v>
      </c>
      <c r="I563" s="601">
        <v>1636828</v>
      </c>
      <c r="J563" s="601">
        <v>2098320</v>
      </c>
      <c r="K563" s="601">
        <v>1906795</v>
      </c>
      <c r="L563" s="601" t="s">
        <v>23</v>
      </c>
    </row>
    <row r="564" spans="1:12" hidden="1">
      <c r="A564" s="601" t="s">
        <v>1495</v>
      </c>
      <c r="B564" s="601" t="str">
        <f t="shared" si="8"/>
        <v xml:space="preserve">FAST </v>
      </c>
      <c r="C564" s="601" t="str">
        <f>MID(Table3[[#This Row],[Statement Code]],FIND("- ",Table3[[#This Row],[Statement Code]])+2,100)</f>
        <v>AMORTIZATION OF DEFERRED CHARG</v>
      </c>
      <c r="D564" s="602" t="s">
        <v>1496</v>
      </c>
      <c r="E564" s="601" t="s">
        <v>1467</v>
      </c>
      <c r="F564" s="601" t="s">
        <v>551</v>
      </c>
      <c r="G564" s="601">
        <v>0</v>
      </c>
      <c r="H564" s="601">
        <v>10</v>
      </c>
      <c r="I564" s="601">
        <v>0</v>
      </c>
      <c r="J564" s="601">
        <v>0</v>
      </c>
      <c r="K564" s="601">
        <v>1422</v>
      </c>
      <c r="L564" s="601" t="s">
        <v>23</v>
      </c>
    </row>
    <row r="565" spans="1:12" hidden="1">
      <c r="A565" s="601" t="s">
        <v>1497</v>
      </c>
      <c r="B565" s="601" t="str">
        <f t="shared" si="8"/>
        <v xml:space="preserve">FAST </v>
      </c>
      <c r="C565" s="601" t="str">
        <f>MID(Table3[[#This Row],[Statement Code]],FIND("- ",Table3[[#This Row],[Statement Code]])+2,100)</f>
        <v>AMORTIZATION-INTANGIBLE ASSETS</v>
      </c>
      <c r="D565" s="602" t="s">
        <v>1498</v>
      </c>
      <c r="E565" s="601" t="s">
        <v>1467</v>
      </c>
      <c r="F565" s="601" t="s">
        <v>551</v>
      </c>
      <c r="G565" s="601">
        <v>89582</v>
      </c>
      <c r="H565" s="601">
        <v>134445</v>
      </c>
      <c r="I565" s="601" t="s">
        <v>23</v>
      </c>
      <c r="J565" s="601" t="s">
        <v>23</v>
      </c>
      <c r="K565" s="601" t="s">
        <v>23</v>
      </c>
      <c r="L565" s="601" t="s">
        <v>23</v>
      </c>
    </row>
    <row r="566" spans="1:12" hidden="1">
      <c r="A566" s="601" t="s">
        <v>1499</v>
      </c>
      <c r="B566" s="601" t="str">
        <f t="shared" si="8"/>
        <v xml:space="preserve">FAST </v>
      </c>
      <c r="C566" s="601" t="str">
        <f>MID(Table3[[#This Row],[Statement Code]],FIND("- ",Table3[[#This Row],[Statement Code]])+2,100)</f>
        <v>AMORTIZATION OF INTANGIBLES</v>
      </c>
      <c r="D566" s="602" t="s">
        <v>1500</v>
      </c>
      <c r="E566" s="601" t="s">
        <v>1467</v>
      </c>
      <c r="F566" s="601" t="s">
        <v>551</v>
      </c>
      <c r="G566" s="601">
        <v>89582</v>
      </c>
      <c r="H566" s="601">
        <v>134436</v>
      </c>
      <c r="I566" s="601">
        <v>158634</v>
      </c>
      <c r="J566" s="601">
        <v>139044</v>
      </c>
      <c r="K566" s="601">
        <v>152971</v>
      </c>
      <c r="L566" s="601" t="s">
        <v>23</v>
      </c>
    </row>
    <row r="567" spans="1:12" hidden="1">
      <c r="A567" s="601" t="s">
        <v>1501</v>
      </c>
      <c r="B567" s="601" t="str">
        <f t="shared" si="8"/>
        <v xml:space="preserve">FAST </v>
      </c>
      <c r="C567" s="601" t="str">
        <f>MID(Table3[[#This Row],[Statement Code]],FIND("- ",Table3[[#This Row],[Statement Code]])+2,100)</f>
        <v>BOOK VALUE-OUT SHARES-FISCAL</v>
      </c>
      <c r="D567" s="602" t="s">
        <v>1502</v>
      </c>
      <c r="E567" s="601" t="s">
        <v>1467</v>
      </c>
      <c r="F567" s="601" t="s">
        <v>551</v>
      </c>
      <c r="G567" s="601">
        <v>28.326000000000001</v>
      </c>
      <c r="H567" s="601">
        <v>29.934999999999999</v>
      </c>
      <c r="I567" s="601">
        <v>33.131999999999998</v>
      </c>
      <c r="J567" s="601">
        <v>35.637</v>
      </c>
      <c r="K567" s="601">
        <v>40.219000000000001</v>
      </c>
      <c r="L567" s="601" t="s">
        <v>23</v>
      </c>
    </row>
    <row r="568" spans="1:12" hidden="1">
      <c r="A568" s="601" t="s">
        <v>1503</v>
      </c>
      <c r="B568" s="601" t="str">
        <f t="shared" si="8"/>
        <v xml:space="preserve">FAST </v>
      </c>
      <c r="C568" s="601" t="str">
        <f>MID(Table3[[#This Row],[Statement Code]],FIND("- ",Table3[[#This Row],[Statement Code]])+2,100)</f>
        <v>BOOK VALUE PER SHARE</v>
      </c>
      <c r="D568" s="602" t="s">
        <v>1504</v>
      </c>
      <c r="E568" s="601" t="s">
        <v>1467</v>
      </c>
      <c r="F568" s="601" t="s">
        <v>551</v>
      </c>
      <c r="G568" s="601">
        <v>28.326000000000001</v>
      </c>
      <c r="H568" s="601">
        <v>29.934999999999999</v>
      </c>
      <c r="I568" s="601">
        <v>33.131999999999998</v>
      </c>
      <c r="J568" s="601">
        <v>35.637</v>
      </c>
      <c r="K568" s="601">
        <v>40.219000000000001</v>
      </c>
      <c r="L568" s="601" t="s">
        <v>23</v>
      </c>
    </row>
    <row r="569" spans="1:12">
      <c r="A569" s="601" t="s">
        <v>1505</v>
      </c>
      <c r="B569" s="601" t="str">
        <f t="shared" si="8"/>
        <v xml:space="preserve">FAST </v>
      </c>
      <c r="C569" s="601" t="str">
        <f>MID(Table3[[#This Row],[Statement Code]],FIND("- ",Table3[[#This Row],[Statement Code]])+2,100)</f>
        <v>CAPITAL EXPENDITURES</v>
      </c>
      <c r="D569" s="602" t="s">
        <v>1506</v>
      </c>
      <c r="E569" s="601" t="s">
        <v>1467</v>
      </c>
      <c r="F569" s="601" t="s">
        <v>551</v>
      </c>
      <c r="G569" s="601">
        <v>384079</v>
      </c>
      <c r="H569" s="601">
        <v>463053</v>
      </c>
      <c r="I569" s="601">
        <v>521469</v>
      </c>
      <c r="J569" s="601">
        <v>364258</v>
      </c>
      <c r="K569" s="601">
        <v>430777</v>
      </c>
      <c r="L569" s="601" t="s">
        <v>23</v>
      </c>
    </row>
    <row r="570" spans="1:12" hidden="1">
      <c r="A570" s="601" t="s">
        <v>1507</v>
      </c>
      <c r="B570" s="601" t="str">
        <f t="shared" si="8"/>
        <v xml:space="preserve">FAST </v>
      </c>
      <c r="C570" s="601" t="str">
        <f>MID(Table3[[#This Row],[Statement Code]],FIND("- ",Table3[[#This Row],[Statement Code]])+2,100)</f>
        <v>CASH</v>
      </c>
      <c r="D570" s="602" t="s">
        <v>1508</v>
      </c>
      <c r="E570" s="601" t="s">
        <v>1467</v>
      </c>
      <c r="F570" s="601" t="s">
        <v>551</v>
      </c>
      <c r="G570" s="601">
        <v>10039438</v>
      </c>
      <c r="H570" s="601">
        <v>10481967</v>
      </c>
      <c r="I570" s="601">
        <v>10709609</v>
      </c>
      <c r="J570" s="601">
        <v>9502530</v>
      </c>
      <c r="K570" s="601">
        <v>6116675</v>
      </c>
      <c r="L570" s="601" t="s">
        <v>23</v>
      </c>
    </row>
    <row r="571" spans="1:12" hidden="1">
      <c r="A571" s="601" t="s">
        <v>1509</v>
      </c>
      <c r="B571" s="601" t="str">
        <f t="shared" si="8"/>
        <v xml:space="preserve">FAST </v>
      </c>
      <c r="C571" s="601" t="str">
        <f>MID(Table3[[#This Row],[Statement Code]],FIND("- ",Table3[[#This Row],[Statement Code]])+2,100)</f>
        <v>CASH - GENERIC</v>
      </c>
      <c r="D571" s="602" t="s">
        <v>1510</v>
      </c>
      <c r="E571" s="601" t="s">
        <v>1467</v>
      </c>
      <c r="F571" s="601" t="s">
        <v>551</v>
      </c>
      <c r="G571" s="601">
        <v>10587001</v>
      </c>
      <c r="H571" s="601">
        <v>11098339</v>
      </c>
      <c r="I571" s="601">
        <v>11466724</v>
      </c>
      <c r="J571" s="601">
        <v>11237502</v>
      </c>
      <c r="K571" s="601">
        <v>10912985</v>
      </c>
      <c r="L571" s="601" t="s">
        <v>23</v>
      </c>
    </row>
    <row r="572" spans="1:12">
      <c r="A572" s="601" t="s">
        <v>1511</v>
      </c>
      <c r="B572" s="601" t="str">
        <f t="shared" si="8"/>
        <v xml:space="preserve">FAST </v>
      </c>
      <c r="C572" s="601" t="str">
        <f>MID(Table3[[#This Row],[Statement Code]],FIND("- ",Table3[[#This Row],[Statement Code]])+2,100)</f>
        <v>CASH &amp; SHORT TERM INVESTMENTS</v>
      </c>
      <c r="D572" s="602" t="s">
        <v>1512</v>
      </c>
      <c r="E572" s="601" t="s">
        <v>1467</v>
      </c>
      <c r="F572" s="601" t="s">
        <v>551</v>
      </c>
      <c r="G572" s="601">
        <v>10587001</v>
      </c>
      <c r="H572" s="601">
        <v>11098339</v>
      </c>
      <c r="I572" s="601">
        <v>11466724</v>
      </c>
      <c r="J572" s="601">
        <v>11237502</v>
      </c>
      <c r="K572" s="601">
        <v>10912985</v>
      </c>
      <c r="L572" s="601" t="s">
        <v>23</v>
      </c>
    </row>
    <row r="573" spans="1:12" hidden="1">
      <c r="A573" s="601" t="s">
        <v>1513</v>
      </c>
      <c r="B573" s="601" t="str">
        <f t="shared" si="8"/>
        <v xml:space="preserve">FAST </v>
      </c>
      <c r="C573" s="601" t="str">
        <f>MID(Table3[[#This Row],[Statement Code]],FIND("- ",Table3[[#This Row],[Statement Code]])+2,100)</f>
        <v>CASH DIVIDENDS PAID - TOTAL</v>
      </c>
      <c r="D573" s="602" t="s">
        <v>1514</v>
      </c>
      <c r="E573" s="601" t="s">
        <v>1467</v>
      </c>
      <c r="F573" s="601" t="s">
        <v>551</v>
      </c>
      <c r="G573" s="601">
        <v>452529</v>
      </c>
      <c r="H573" s="601">
        <v>469638</v>
      </c>
      <c r="I573" s="601">
        <v>445512</v>
      </c>
      <c r="J573" s="601">
        <v>371421</v>
      </c>
      <c r="K573" s="601">
        <v>494762</v>
      </c>
      <c r="L573" s="601" t="s">
        <v>23</v>
      </c>
    </row>
    <row r="574" spans="1:12" hidden="1">
      <c r="A574" s="601" t="s">
        <v>1515</v>
      </c>
      <c r="B574" s="601" t="str">
        <f t="shared" si="8"/>
        <v xml:space="preserve">FAST </v>
      </c>
      <c r="C574" s="601" t="str">
        <f>MID(Table3[[#This Row],[Statement Code]],FIND("- ",Table3[[#This Row],[Statement Code]])+2,100)</f>
        <v>CASH FLOW PER SHARE</v>
      </c>
      <c r="D574" s="602" t="s">
        <v>1516</v>
      </c>
      <c r="E574" s="601" t="s">
        <v>1467</v>
      </c>
      <c r="F574" s="601" t="s">
        <v>551</v>
      </c>
      <c r="G574" s="601">
        <v>7.4029999999999996</v>
      </c>
      <c r="H574" s="601">
        <v>8.9819999999999993</v>
      </c>
      <c r="I574" s="601">
        <v>10.795</v>
      </c>
      <c r="J574" s="601">
        <v>8.82</v>
      </c>
      <c r="K574" s="601">
        <v>9.609</v>
      </c>
      <c r="L574" s="601" t="s">
        <v>23</v>
      </c>
    </row>
    <row r="575" spans="1:12" hidden="1">
      <c r="A575" s="601" t="s">
        <v>1517</v>
      </c>
      <c r="B575" s="601" t="str">
        <f t="shared" si="8"/>
        <v xml:space="preserve">FAST </v>
      </c>
      <c r="C575" s="601" t="str">
        <f>MID(Table3[[#This Row],[Statement Code]],FIND("- ",Table3[[#This Row],[Statement Code]])+2,100)</f>
        <v>CASH FLOW PER SHARE - FIS YR</v>
      </c>
      <c r="D575" s="602" t="s">
        <v>1518</v>
      </c>
      <c r="E575" s="601" t="s">
        <v>1467</v>
      </c>
      <c r="F575" s="601" t="s">
        <v>551</v>
      </c>
      <c r="G575" s="601">
        <v>7.4029999999999996</v>
      </c>
      <c r="H575" s="601">
        <v>8.9819999999999993</v>
      </c>
      <c r="I575" s="601">
        <v>10.795</v>
      </c>
      <c r="J575" s="601">
        <v>8.82</v>
      </c>
      <c r="K575" s="601">
        <v>9.609</v>
      </c>
      <c r="L575" s="601" t="s">
        <v>23</v>
      </c>
    </row>
    <row r="576" spans="1:12" hidden="1">
      <c r="A576" s="601" t="s">
        <v>1519</v>
      </c>
      <c r="B576" s="601" t="str">
        <f t="shared" si="8"/>
        <v xml:space="preserve">FAST </v>
      </c>
      <c r="C576" s="601" t="str">
        <f>MID(Table3[[#This Row],[Statement Code]],FIND("- ",Table3[[#This Row],[Statement Code]])+2,100)</f>
        <v>COMMON DIVIDENDS (CASH)</v>
      </c>
      <c r="D576" s="602" t="s">
        <v>1520</v>
      </c>
      <c r="E576" s="601" t="s">
        <v>1467</v>
      </c>
      <c r="F576" s="601" t="s">
        <v>551</v>
      </c>
      <c r="G576" s="601">
        <v>452529</v>
      </c>
      <c r="H576" s="601">
        <v>469638</v>
      </c>
      <c r="I576" s="601">
        <v>445512</v>
      </c>
      <c r="J576" s="601">
        <v>371421</v>
      </c>
      <c r="K576" s="601">
        <v>494762</v>
      </c>
      <c r="L576" s="601" t="s">
        <v>23</v>
      </c>
    </row>
    <row r="577" spans="1:12" hidden="1">
      <c r="A577" s="601" t="s">
        <v>1521</v>
      </c>
      <c r="B577" s="601" t="str">
        <f t="shared" si="8"/>
        <v xml:space="preserve">FAST </v>
      </c>
      <c r="C577" s="601" t="str">
        <f>MID(Table3[[#This Row],[Statement Code]],FIND("- ",Table3[[#This Row],[Statement Code]])+2,100)</f>
        <v>COMMON SHAREHOLDERS' EQUITY</v>
      </c>
      <c r="D577" s="602" t="s">
        <v>1522</v>
      </c>
      <c r="E577" s="601" t="s">
        <v>1467</v>
      </c>
      <c r="F577" s="601" t="s">
        <v>551</v>
      </c>
      <c r="G577" s="601">
        <v>8672860</v>
      </c>
      <c r="H577" s="601">
        <v>9169069</v>
      </c>
      <c r="I577" s="601">
        <v>10152630</v>
      </c>
      <c r="J577" s="601">
        <v>10925224</v>
      </c>
      <c r="K577" s="601">
        <v>12333875</v>
      </c>
      <c r="L577" s="601" t="s">
        <v>23</v>
      </c>
    </row>
    <row r="578" spans="1:12">
      <c r="A578" s="601" t="s">
        <v>1523</v>
      </c>
      <c r="B578" s="601" t="str">
        <f t="shared" si="8"/>
        <v xml:space="preserve">FAST </v>
      </c>
      <c r="C578" s="601" t="str">
        <f>MID(Table3[[#This Row],[Statement Code]],FIND("- ",Table3[[#This Row],[Statement Code]])+2,100)</f>
        <v>COMMON STOCK</v>
      </c>
      <c r="D578" s="602" t="s">
        <v>1524</v>
      </c>
      <c r="E578" s="601" t="s">
        <v>1467</v>
      </c>
      <c r="F578" s="601" t="s">
        <v>551</v>
      </c>
      <c r="G578" s="601">
        <v>94923</v>
      </c>
      <c r="H578" s="601">
        <v>98471</v>
      </c>
      <c r="I578" s="601">
        <v>93416</v>
      </c>
      <c r="J578" s="601">
        <v>71869</v>
      </c>
      <c r="K578" s="601">
        <v>69565</v>
      </c>
      <c r="L578" s="601" t="s">
        <v>23</v>
      </c>
    </row>
    <row r="579" spans="1:12" hidden="1">
      <c r="A579" s="601" t="s">
        <v>1525</v>
      </c>
      <c r="B579" s="601" t="str">
        <f t="shared" ref="B579:B642" si="9">LEFT(A579,FIND(" ",A579))</f>
        <v xml:space="preserve">FAST </v>
      </c>
      <c r="C579" s="601" t="str">
        <f>MID(Table3[[#This Row],[Statement Code]],FIND("- ",Table3[[#This Row],[Statement Code]])+2,100)</f>
        <v>COST OF GOODS SOLD (EXCL DEP)</v>
      </c>
      <c r="D579" s="602" t="s">
        <v>1526</v>
      </c>
      <c r="E579" s="601" t="s">
        <v>1467</v>
      </c>
      <c r="F579" s="601" t="s">
        <v>551</v>
      </c>
      <c r="G579" s="601">
        <v>10819923</v>
      </c>
      <c r="H579" s="601">
        <v>9901751</v>
      </c>
      <c r="I579" s="601">
        <v>9610027</v>
      </c>
      <c r="J579" s="601">
        <v>7625302</v>
      </c>
      <c r="K579" s="601">
        <v>8975676</v>
      </c>
      <c r="L579" s="601" t="s">
        <v>23</v>
      </c>
    </row>
    <row r="580" spans="1:12">
      <c r="A580" s="601" t="s">
        <v>1527</v>
      </c>
      <c r="B580" s="601" t="str">
        <f t="shared" si="9"/>
        <v xml:space="preserve">FAST </v>
      </c>
      <c r="C580" s="601" t="str">
        <f>MID(Table3[[#This Row],[Statement Code]],FIND("- ",Table3[[#This Row],[Statement Code]])+2,100)</f>
        <v>CURRENT ASSETS - TOTAL</v>
      </c>
      <c r="D580" s="602" t="s">
        <v>1528</v>
      </c>
      <c r="E580" s="601" t="s">
        <v>1467</v>
      </c>
      <c r="F580" s="601" t="s">
        <v>551</v>
      </c>
      <c r="G580" s="601">
        <v>15136732</v>
      </c>
      <c r="H580" s="601">
        <v>15865720</v>
      </c>
      <c r="I580" s="601">
        <v>15683128</v>
      </c>
      <c r="J580" s="601">
        <v>15243112</v>
      </c>
      <c r="K580" s="601">
        <v>14739766</v>
      </c>
      <c r="L580" s="601" t="s">
        <v>23</v>
      </c>
    </row>
    <row r="581" spans="1:12">
      <c r="A581" s="601" t="s">
        <v>1529</v>
      </c>
      <c r="B581" s="601" t="str">
        <f t="shared" si="9"/>
        <v xml:space="preserve">FAST </v>
      </c>
      <c r="C581" s="601" t="str">
        <f>MID(Table3[[#This Row],[Statement Code]],FIND("- ",Table3[[#This Row],[Statement Code]])+2,100)</f>
        <v>CURRENT LIABILITIES-TOTAL</v>
      </c>
      <c r="D581" s="602" t="s">
        <v>1530</v>
      </c>
      <c r="E581" s="601" t="s">
        <v>1467</v>
      </c>
      <c r="F581" s="601" t="s">
        <v>551</v>
      </c>
      <c r="G581" s="601">
        <v>4404321</v>
      </c>
      <c r="H581" s="601">
        <v>6206136</v>
      </c>
      <c r="I581" s="601">
        <v>5283367</v>
      </c>
      <c r="J581" s="601">
        <v>6130137</v>
      </c>
      <c r="K581" s="601">
        <v>4938277</v>
      </c>
      <c r="L581" s="601" t="s">
        <v>23</v>
      </c>
    </row>
    <row r="582" spans="1:12" hidden="1">
      <c r="A582" s="601" t="s">
        <v>1531</v>
      </c>
      <c r="B582" s="601" t="str">
        <f t="shared" si="9"/>
        <v xml:space="preserve">FAST </v>
      </c>
      <c r="C582" s="601" t="str">
        <f>MID(Table3[[#This Row],[Statement Code]],FIND("- ",Table3[[#This Row],[Statement Code]])+2,100)</f>
        <v>DEFERRED TAXES</v>
      </c>
      <c r="D582" s="602" t="s">
        <v>1532</v>
      </c>
      <c r="E582" s="601" t="s">
        <v>1467</v>
      </c>
      <c r="F582" s="601" t="s">
        <v>551</v>
      </c>
      <c r="G582" s="601">
        <v>-224911</v>
      </c>
      <c r="H582" s="601">
        <v>-361246</v>
      </c>
      <c r="I582" s="601">
        <v>-247931</v>
      </c>
      <c r="J582" s="601">
        <v>250119</v>
      </c>
      <c r="K582" s="601">
        <v>195233</v>
      </c>
      <c r="L582" s="601" t="s">
        <v>23</v>
      </c>
    </row>
    <row r="583" spans="1:12" hidden="1">
      <c r="A583" s="601" t="s">
        <v>1533</v>
      </c>
      <c r="B583" s="601" t="str">
        <f t="shared" si="9"/>
        <v xml:space="preserve">FAST </v>
      </c>
      <c r="C583" s="601" t="str">
        <f>MID(Table3[[#This Row],[Statement Code]],FIND("- ",Table3[[#This Row],[Statement Code]])+2,100)</f>
        <v>DEPRECIATION AND DEPLETION</v>
      </c>
      <c r="D583" s="602" t="s">
        <v>1534</v>
      </c>
      <c r="E583" s="601" t="s">
        <v>1467</v>
      </c>
      <c r="F583" s="601" t="s">
        <v>551</v>
      </c>
      <c r="G583" s="601">
        <v>358337</v>
      </c>
      <c r="H583" s="601">
        <v>1570305</v>
      </c>
      <c r="I583" s="601">
        <v>1617804</v>
      </c>
      <c r="J583" s="601">
        <v>1261193</v>
      </c>
      <c r="K583" s="601">
        <v>1265427</v>
      </c>
      <c r="L583" s="601" t="s">
        <v>23</v>
      </c>
    </row>
    <row r="584" spans="1:12">
      <c r="A584" s="601" t="s">
        <v>1535</v>
      </c>
      <c r="B584" s="601" t="str">
        <f t="shared" si="9"/>
        <v xml:space="preserve">FAST </v>
      </c>
      <c r="C584" s="601" t="str">
        <f>MID(Table3[[#This Row],[Statement Code]],FIND("- ",Table3[[#This Row],[Statement Code]])+2,100)</f>
        <v>DEPRECIATION/DEPLETION/AMORT</v>
      </c>
      <c r="D584" s="602" t="s">
        <v>1536</v>
      </c>
      <c r="E584" s="601" t="s">
        <v>1467</v>
      </c>
      <c r="F584" s="601" t="s">
        <v>551</v>
      </c>
      <c r="G584" s="601">
        <v>447918</v>
      </c>
      <c r="H584" s="601">
        <v>1704750</v>
      </c>
      <c r="I584" s="601">
        <v>1638001</v>
      </c>
      <c r="J584" s="601">
        <v>1291290</v>
      </c>
      <c r="K584" s="601">
        <v>1297342</v>
      </c>
      <c r="L584" s="601" t="s">
        <v>23</v>
      </c>
    </row>
    <row r="585" spans="1:12" hidden="1">
      <c r="A585" s="601" t="s">
        <v>1537</v>
      </c>
      <c r="B585" s="601" t="str">
        <f t="shared" si="9"/>
        <v xml:space="preserve">FAST </v>
      </c>
      <c r="C585" s="601" t="str">
        <f>MID(Table3[[#This Row],[Statement Code]],FIND("- ",Table3[[#This Row],[Statement Code]])+2,100)</f>
        <v>DIVIDENDS PER SHARE</v>
      </c>
      <c r="D585" s="602" t="s">
        <v>1538</v>
      </c>
      <c r="E585" s="601" t="s">
        <v>1467</v>
      </c>
      <c r="F585" s="601" t="s">
        <v>551</v>
      </c>
      <c r="G585" s="601">
        <v>1.478</v>
      </c>
      <c r="H585" s="601">
        <v>1.534</v>
      </c>
      <c r="I585" s="601">
        <v>1.4550000000000001</v>
      </c>
      <c r="J585" s="601">
        <v>1.446</v>
      </c>
      <c r="K585" s="601">
        <v>1.964</v>
      </c>
      <c r="L585" s="601">
        <v>2.8170000000000002</v>
      </c>
    </row>
    <row r="586" spans="1:12" hidden="1">
      <c r="A586" s="601" t="s">
        <v>1539</v>
      </c>
      <c r="B586" s="601" t="str">
        <f t="shared" si="9"/>
        <v xml:space="preserve">FAST </v>
      </c>
      <c r="C586" s="601" t="str">
        <f>MID(Table3[[#This Row],[Statement Code]],FIND("- ",Table3[[#This Row],[Statement Code]])+2,100)</f>
        <v>DIVIDENDS PER SHARE - FISCAL</v>
      </c>
      <c r="D586" s="602" t="s">
        <v>1540</v>
      </c>
      <c r="E586" s="601" t="s">
        <v>1467</v>
      </c>
      <c r="F586" s="601" t="s">
        <v>551</v>
      </c>
      <c r="G586" s="601">
        <v>1.478</v>
      </c>
      <c r="H586" s="601">
        <v>1.534</v>
      </c>
      <c r="I586" s="601">
        <v>1.4550000000000001</v>
      </c>
      <c r="J586" s="601">
        <v>1.446</v>
      </c>
      <c r="K586" s="601">
        <v>1.964</v>
      </c>
      <c r="L586" s="601">
        <v>2.8170000000000002</v>
      </c>
    </row>
    <row r="587" spans="1:12">
      <c r="A587" s="601" t="s">
        <v>1541</v>
      </c>
      <c r="B587" s="601" t="str">
        <f t="shared" si="9"/>
        <v xml:space="preserve">FAST </v>
      </c>
      <c r="C587" s="601" t="str">
        <f>MID(Table3[[#This Row],[Statement Code]],FIND("- ",Table3[[#This Row],[Statement Code]])+2,100)</f>
        <v>EARNINGS BEF INTEREST &amp; TAXES</v>
      </c>
      <c r="D587" s="602" t="s">
        <v>1542</v>
      </c>
      <c r="E587" s="601" t="s">
        <v>1467</v>
      </c>
      <c r="F587" s="601" t="s">
        <v>551</v>
      </c>
      <c r="G587" s="601">
        <v>2372980</v>
      </c>
      <c r="H587" s="601">
        <v>1539181</v>
      </c>
      <c r="I587" s="601">
        <v>2481240</v>
      </c>
      <c r="J587" s="601">
        <v>2946298</v>
      </c>
      <c r="K587" s="601">
        <v>3031718</v>
      </c>
      <c r="L587" s="601" t="s">
        <v>23</v>
      </c>
    </row>
    <row r="588" spans="1:12" hidden="1">
      <c r="A588" s="601" t="s">
        <v>1543</v>
      </c>
      <c r="B588" s="601" t="str">
        <f t="shared" si="9"/>
        <v xml:space="preserve">FAST </v>
      </c>
      <c r="C588" s="601" t="str">
        <f>MID(Table3[[#This Row],[Statement Code]],FIND("- ",Table3[[#This Row],[Statement Code]])+2,100)</f>
        <v>EBIT &amp; DEPRECIATION</v>
      </c>
      <c r="D588" s="602" t="s">
        <v>1544</v>
      </c>
      <c r="E588" s="601" t="s">
        <v>1467</v>
      </c>
      <c r="F588" s="601" t="s">
        <v>551</v>
      </c>
      <c r="G588" s="601">
        <v>2820899</v>
      </c>
      <c r="H588" s="601">
        <v>3243931</v>
      </c>
      <c r="I588" s="601">
        <v>4119240</v>
      </c>
      <c r="J588" s="601">
        <v>4237588</v>
      </c>
      <c r="K588" s="601">
        <v>4329060</v>
      </c>
      <c r="L588" s="601" t="s">
        <v>23</v>
      </c>
    </row>
    <row r="589" spans="1:12" hidden="1">
      <c r="A589" s="601" t="s">
        <v>1545</v>
      </c>
      <c r="B589" s="601" t="str">
        <f t="shared" si="9"/>
        <v xml:space="preserve">FAST </v>
      </c>
      <c r="C589" s="601" t="str">
        <f>MID(Table3[[#This Row],[Statement Code]],FIND("- ",Table3[[#This Row],[Statement Code]])+2,100)</f>
        <v>EARNINGS PER SHARE</v>
      </c>
      <c r="D589" s="602" t="s">
        <v>1546</v>
      </c>
      <c r="E589" s="601" t="s">
        <v>1467</v>
      </c>
      <c r="F589" s="601" t="s">
        <v>551</v>
      </c>
      <c r="G589" s="601">
        <v>4.907</v>
      </c>
      <c r="H589" s="601">
        <v>2.8279999999999998</v>
      </c>
      <c r="I589" s="601">
        <v>5.0410000000000004</v>
      </c>
      <c r="J589" s="601">
        <v>6.2389999999999999</v>
      </c>
      <c r="K589" s="601">
        <v>6.5419999999999998</v>
      </c>
      <c r="L589" s="601" t="s">
        <v>23</v>
      </c>
    </row>
    <row r="590" spans="1:12" hidden="1">
      <c r="A590" s="601" t="s">
        <v>1547</v>
      </c>
      <c r="B590" s="601" t="str">
        <f t="shared" si="9"/>
        <v xml:space="preserve">FAST </v>
      </c>
      <c r="C590" s="601" t="str">
        <f>MID(Table3[[#This Row],[Statement Code]],FIND("- ",Table3[[#This Row],[Statement Code]])+2,100)</f>
        <v>FISCAL EPS-FULLY DILUTED-YR</v>
      </c>
      <c r="D590" s="602" t="s">
        <v>1548</v>
      </c>
      <c r="E590" s="601" t="s">
        <v>1467</v>
      </c>
      <c r="F590" s="601" t="s">
        <v>551</v>
      </c>
      <c r="G590" s="601">
        <v>4.899</v>
      </c>
      <c r="H590" s="601">
        <v>2.823</v>
      </c>
      <c r="I590" s="601">
        <v>5.0330000000000004</v>
      </c>
      <c r="J590" s="601">
        <v>6.2290000000000001</v>
      </c>
      <c r="K590" s="601">
        <v>6.5309999999999997</v>
      </c>
      <c r="L590" s="601" t="s">
        <v>23</v>
      </c>
    </row>
    <row r="591" spans="1:12" hidden="1">
      <c r="A591" s="601" t="s">
        <v>1549</v>
      </c>
      <c r="B591" s="601" t="str">
        <f t="shared" si="9"/>
        <v xml:space="preserve">FAST </v>
      </c>
      <c r="C591" s="601" t="str">
        <f>MID(Table3[[#This Row],[Statement Code]],FIND("- ",Table3[[#This Row],[Statement Code]])+2,100)</f>
        <v>ENTERPRISE VALUE</v>
      </c>
      <c r="D591" s="602" t="s">
        <v>1550</v>
      </c>
      <c r="E591" s="601" t="s">
        <v>1467</v>
      </c>
      <c r="F591" s="601" t="s">
        <v>551</v>
      </c>
      <c r="G591" s="601">
        <v>53267305</v>
      </c>
      <c r="H591" s="601">
        <v>60323799</v>
      </c>
      <c r="I591" s="601">
        <v>63977791</v>
      </c>
      <c r="J591" s="601">
        <v>53687731</v>
      </c>
      <c r="K591" s="601">
        <v>63749420</v>
      </c>
      <c r="L591" s="601" t="s">
        <v>23</v>
      </c>
    </row>
    <row r="592" spans="1:12">
      <c r="A592" s="601" t="s">
        <v>1551</v>
      </c>
      <c r="B592" s="601" t="str">
        <f t="shared" si="9"/>
        <v xml:space="preserve">FAST </v>
      </c>
      <c r="C592" s="601" t="str">
        <f>MID(Table3[[#This Row],[Statement Code]],FIND("- ",Table3[[#This Row],[Statement Code]])+2,100)</f>
        <v>GROSS INCOME</v>
      </c>
      <c r="D592" s="602" t="s">
        <v>1552</v>
      </c>
      <c r="E592" s="601" t="s">
        <v>1467</v>
      </c>
      <c r="F592" s="601" t="s">
        <v>551</v>
      </c>
      <c r="G592" s="601">
        <v>9896828</v>
      </c>
      <c r="H592" s="601">
        <v>7649155</v>
      </c>
      <c r="I592" s="601">
        <v>8148093</v>
      </c>
      <c r="J592" s="601">
        <v>7181920</v>
      </c>
      <c r="K592" s="601">
        <v>8461073</v>
      </c>
      <c r="L592" s="601" t="s">
        <v>23</v>
      </c>
    </row>
    <row r="593" spans="1:12">
      <c r="A593" s="601" t="s">
        <v>1553</v>
      </c>
      <c r="B593" s="601" t="str">
        <f t="shared" si="9"/>
        <v xml:space="preserve">FAST </v>
      </c>
      <c r="C593" s="601" t="str">
        <f>MID(Table3[[#This Row],[Statement Code]],FIND("- ",Table3[[#This Row],[Statement Code]])+2,100)</f>
        <v>INCOME TAXES</v>
      </c>
      <c r="D593" s="602" t="s">
        <v>1554</v>
      </c>
      <c r="E593" s="601" t="s">
        <v>1467</v>
      </c>
      <c r="F593" s="601" t="s">
        <v>551</v>
      </c>
      <c r="G593" s="601">
        <v>687456</v>
      </c>
      <c r="H593" s="601">
        <v>598802</v>
      </c>
      <c r="I593" s="601">
        <v>820114</v>
      </c>
      <c r="J593" s="601">
        <v>901315</v>
      </c>
      <c r="K593" s="601">
        <v>831190</v>
      </c>
      <c r="L593" s="601" t="s">
        <v>23</v>
      </c>
    </row>
    <row r="594" spans="1:12" hidden="1">
      <c r="A594" s="601" t="s">
        <v>1555</v>
      </c>
      <c r="B594" s="601" t="str">
        <f t="shared" si="9"/>
        <v xml:space="preserve">FAST </v>
      </c>
      <c r="C594" s="601" t="str">
        <f>MID(Table3[[#This Row],[Statement Code]],FIND("- ",Table3[[#This Row],[Statement Code]])+2,100)</f>
        <v>INCREASE/DECREASE IN CASH/SHOR</v>
      </c>
      <c r="D594" s="602" t="s">
        <v>1556</v>
      </c>
      <c r="E594" s="601" t="s">
        <v>1467</v>
      </c>
      <c r="F594" s="601" t="s">
        <v>551</v>
      </c>
      <c r="G594" s="601">
        <v>802235</v>
      </c>
      <c r="H594" s="601">
        <v>67203</v>
      </c>
      <c r="I594" s="601">
        <v>765700</v>
      </c>
      <c r="J594" s="601">
        <v>1263159</v>
      </c>
      <c r="K594" s="601">
        <v>-3081165</v>
      </c>
      <c r="L594" s="601" t="s">
        <v>23</v>
      </c>
    </row>
    <row r="595" spans="1:12">
      <c r="A595" s="601" t="s">
        <v>1557</v>
      </c>
      <c r="B595" s="601" t="str">
        <f t="shared" si="9"/>
        <v xml:space="preserve">FAST </v>
      </c>
      <c r="C595" s="601" t="str">
        <f>MID(Table3[[#This Row],[Statement Code]],FIND("- ",Table3[[#This Row],[Statement Code]])+2,100)</f>
        <v>INTEREST EXPENSE ON DEBT</v>
      </c>
      <c r="D595" s="602" t="s">
        <v>1558</v>
      </c>
      <c r="E595" s="601" t="s">
        <v>1467</v>
      </c>
      <c r="F595" s="601" t="s">
        <v>551</v>
      </c>
      <c r="G595" s="601">
        <v>40370</v>
      </c>
      <c r="H595" s="601">
        <v>73865</v>
      </c>
      <c r="I595" s="601">
        <v>63563</v>
      </c>
      <c r="J595" s="601">
        <v>52889</v>
      </c>
      <c r="K595" s="601">
        <v>66301</v>
      </c>
      <c r="L595" s="601" t="s">
        <v>23</v>
      </c>
    </row>
    <row r="596" spans="1:12" hidden="1">
      <c r="A596" s="601" t="s">
        <v>1559</v>
      </c>
      <c r="B596" s="601" t="str">
        <f t="shared" si="9"/>
        <v xml:space="preserve">FAST </v>
      </c>
      <c r="C596" s="601" t="str">
        <f>MID(Table3[[#This Row],[Statement Code]],FIND("- ",Table3[[#This Row],[Statement Code]])+2,100)</f>
        <v>TOTAL INVENTORIES</v>
      </c>
      <c r="D596" s="602" t="s">
        <v>1560</v>
      </c>
      <c r="E596" s="601" t="s">
        <v>1467</v>
      </c>
      <c r="F596" s="601" t="s">
        <v>551</v>
      </c>
      <c r="G596" s="601">
        <v>3793261</v>
      </c>
      <c r="H596" s="601">
        <v>4002196</v>
      </c>
      <c r="I596" s="601">
        <v>3590687</v>
      </c>
      <c r="J596" s="601">
        <v>3399523</v>
      </c>
      <c r="K596" s="601">
        <v>3042180</v>
      </c>
      <c r="L596" s="601" t="s">
        <v>23</v>
      </c>
    </row>
    <row r="597" spans="1:12">
      <c r="A597" s="601" t="s">
        <v>1561</v>
      </c>
      <c r="B597" s="601" t="str">
        <f t="shared" si="9"/>
        <v xml:space="preserve">FAST </v>
      </c>
      <c r="C597" s="601" t="str">
        <f>MID(Table3[[#This Row],[Statement Code]],FIND("- ",Table3[[#This Row],[Statement Code]])+2,100)</f>
        <v>LONG TERM DEBT</v>
      </c>
      <c r="D597" s="602" t="s">
        <v>1562</v>
      </c>
      <c r="E597" s="601" t="s">
        <v>1467</v>
      </c>
      <c r="F597" s="601" t="s">
        <v>551</v>
      </c>
      <c r="G597" s="601">
        <v>4606113</v>
      </c>
      <c r="H597" s="601">
        <v>6909927</v>
      </c>
      <c r="I597" s="601">
        <v>6483994</v>
      </c>
      <c r="J597" s="601">
        <v>4173792</v>
      </c>
      <c r="K597" s="601">
        <v>3917054</v>
      </c>
      <c r="L597" s="601" t="s">
        <v>23</v>
      </c>
    </row>
    <row r="598" spans="1:12" hidden="1">
      <c r="A598" s="601" t="s">
        <v>1563</v>
      </c>
      <c r="B598" s="601" t="str">
        <f t="shared" si="9"/>
        <v xml:space="preserve">FAST </v>
      </c>
      <c r="C598" s="601" t="str">
        <f>MID(Table3[[#This Row],[Statement Code]],FIND("- ",Table3[[#This Row],[Statement Code]])+2,100)</f>
        <v>MARKET CAPITALIZATION</v>
      </c>
      <c r="D598" s="602" t="s">
        <v>1564</v>
      </c>
      <c r="E598" s="601" t="s">
        <v>1467</v>
      </c>
      <c r="F598" s="601" t="s">
        <v>551</v>
      </c>
      <c r="G598" s="601">
        <v>58695474</v>
      </c>
      <c r="H598" s="601">
        <v>61930729</v>
      </c>
      <c r="I598" s="601">
        <v>67359548</v>
      </c>
      <c r="J598" s="601">
        <v>58587114</v>
      </c>
      <c r="K598" s="601">
        <v>69526011</v>
      </c>
      <c r="L598" s="601" t="s">
        <v>23</v>
      </c>
    </row>
    <row r="599" spans="1:12" hidden="1">
      <c r="A599" s="601" t="s">
        <v>1565</v>
      </c>
      <c r="B599" s="601" t="str">
        <f t="shared" si="9"/>
        <v xml:space="preserve">FAST </v>
      </c>
      <c r="C599" s="601" t="str">
        <f>MID(Table3[[#This Row],[Statement Code]],FIND("- ",Table3[[#This Row],[Statement Code]])+2,100)</f>
        <v>NET CASH FLOW - FINANCING</v>
      </c>
      <c r="D599" s="602" t="s">
        <v>1566</v>
      </c>
      <c r="E599" s="601" t="s">
        <v>1467</v>
      </c>
      <c r="F599" s="601" t="s">
        <v>551</v>
      </c>
      <c r="G599" s="601">
        <v>-946444</v>
      </c>
      <c r="H599" s="601">
        <v>-1756703</v>
      </c>
      <c r="I599" s="601">
        <v>-2755160</v>
      </c>
      <c r="J599" s="601">
        <v>-1490485</v>
      </c>
      <c r="K599" s="601">
        <v>-2468678</v>
      </c>
      <c r="L599" s="601" t="s">
        <v>23</v>
      </c>
    </row>
    <row r="600" spans="1:12" hidden="1">
      <c r="A600" s="601" t="s">
        <v>1567</v>
      </c>
      <c r="B600" s="601" t="str">
        <f t="shared" si="9"/>
        <v xml:space="preserve">FAST </v>
      </c>
      <c r="C600" s="601" t="str">
        <f>MID(Table3[[#This Row],[Statement Code]],FIND("- ",Table3[[#This Row],[Statement Code]])+2,100)</f>
        <v>NET CASH FLOW - INVESTING</v>
      </c>
      <c r="D600" s="602" t="s">
        <v>1568</v>
      </c>
      <c r="E600" s="601" t="s">
        <v>1467</v>
      </c>
      <c r="F600" s="601" t="s">
        <v>551</v>
      </c>
      <c r="G600" s="601">
        <v>727706</v>
      </c>
      <c r="H600" s="601">
        <v>728311</v>
      </c>
      <c r="I600" s="601">
        <v>751086</v>
      </c>
      <c r="J600" s="601">
        <v>1484720</v>
      </c>
      <c r="K600" s="601">
        <v>3889636</v>
      </c>
      <c r="L600" s="601" t="s">
        <v>23</v>
      </c>
    </row>
    <row r="601" spans="1:12" hidden="1">
      <c r="A601" s="601" t="s">
        <v>1569</v>
      </c>
      <c r="B601" s="601" t="str">
        <f t="shared" si="9"/>
        <v xml:space="preserve">FAST </v>
      </c>
      <c r="C601" s="601" t="str">
        <f>MID(Table3[[#This Row],[Statement Code]],FIND("- ",Table3[[#This Row],[Statement Code]])+2,100)</f>
        <v>NET CASH FLOW-OPERATING ACTIVS</v>
      </c>
      <c r="D601" s="602" t="s">
        <v>1570</v>
      </c>
      <c r="E601" s="601" t="s">
        <v>1467</v>
      </c>
      <c r="F601" s="601" t="s">
        <v>551</v>
      </c>
      <c r="G601" s="601">
        <v>2776648</v>
      </c>
      <c r="H601" s="601">
        <v>2538865</v>
      </c>
      <c r="I601" s="601">
        <v>3900772</v>
      </c>
      <c r="J601" s="601">
        <v>3013970</v>
      </c>
      <c r="K601" s="601">
        <v>3136739</v>
      </c>
      <c r="L601" s="601" t="s">
        <v>23</v>
      </c>
    </row>
    <row r="602" spans="1:12" hidden="1">
      <c r="A602" s="601" t="s">
        <v>1571</v>
      </c>
      <c r="B602" s="601" t="str">
        <f t="shared" si="9"/>
        <v xml:space="preserve">FAST </v>
      </c>
      <c r="C602" s="601" t="str">
        <f>MID(Table3[[#This Row],[Statement Code]],FIND("- ",Table3[[#This Row],[Statement Code]])+2,100)</f>
        <v>NET DEBT</v>
      </c>
      <c r="D602" s="602" t="s">
        <v>1572</v>
      </c>
      <c r="E602" s="601" t="s">
        <v>1467</v>
      </c>
      <c r="F602" s="601" t="s">
        <v>551</v>
      </c>
      <c r="G602" s="601">
        <v>-5843165</v>
      </c>
      <c r="H602" s="601">
        <v>-1985708</v>
      </c>
      <c r="I602" s="601">
        <v>-3798353</v>
      </c>
      <c r="J602" s="601">
        <v>-5275415</v>
      </c>
      <c r="K602" s="601">
        <v>-6128410</v>
      </c>
      <c r="L602" s="601" t="s">
        <v>23</v>
      </c>
    </row>
    <row r="603" spans="1:12">
      <c r="A603" s="601" t="s">
        <v>1573</v>
      </c>
      <c r="B603" s="601" t="str">
        <f t="shared" si="9"/>
        <v xml:space="preserve">FAST </v>
      </c>
      <c r="C603" s="601" t="str">
        <f>MID(Table3[[#This Row],[Statement Code]],FIND("- ",Table3[[#This Row],[Statement Code]])+2,100)</f>
        <v>NET INCOME - DILUTED</v>
      </c>
      <c r="D603" s="602" t="s">
        <v>1574</v>
      </c>
      <c r="E603" s="601" t="s">
        <v>1467</v>
      </c>
      <c r="F603" s="601" t="s">
        <v>551</v>
      </c>
      <c r="G603" s="601">
        <v>1502221</v>
      </c>
      <c r="H603" s="601">
        <v>866111</v>
      </c>
      <c r="I603" s="601">
        <v>1544484</v>
      </c>
      <c r="J603" s="601">
        <v>1912235</v>
      </c>
      <c r="K603" s="601">
        <v>2005952</v>
      </c>
      <c r="L603" s="601" t="s">
        <v>23</v>
      </c>
    </row>
    <row r="604" spans="1:12">
      <c r="A604" s="601" t="s">
        <v>1575</v>
      </c>
      <c r="B604" s="601" t="str">
        <f t="shared" si="9"/>
        <v xml:space="preserve">FAST </v>
      </c>
      <c r="C604" s="601" t="str">
        <f>MID(Table3[[#This Row],[Statement Code]],FIND("- ",Table3[[#This Row],[Statement Code]])+2,100)</f>
        <v>NET SALES OR REVENUES</v>
      </c>
      <c r="D604" s="602" t="s">
        <v>1576</v>
      </c>
      <c r="E604" s="601" t="s">
        <v>1467</v>
      </c>
      <c r="F604" s="601" t="s">
        <v>551</v>
      </c>
      <c r="G604" s="601">
        <v>21164669</v>
      </c>
      <c r="H604" s="601">
        <v>19255656</v>
      </c>
      <c r="I604" s="601">
        <v>19396121</v>
      </c>
      <c r="J604" s="601">
        <v>16098512</v>
      </c>
      <c r="K604" s="601">
        <v>18734092</v>
      </c>
      <c r="L604" s="601" t="s">
        <v>23</v>
      </c>
    </row>
    <row r="605" spans="1:12" hidden="1">
      <c r="A605" s="601" t="s">
        <v>1577</v>
      </c>
      <c r="B605" s="601" t="str">
        <f t="shared" si="9"/>
        <v xml:space="preserve">FAST </v>
      </c>
      <c r="C605" s="601" t="str">
        <f>MID(Table3[[#This Row],[Statement Code]],FIND("- ",Table3[[#This Row],[Statement Code]])+2,100)</f>
        <v>NON-OPERATING INTEREST INCOME</v>
      </c>
      <c r="D605" s="602" t="s">
        <v>1578</v>
      </c>
      <c r="E605" s="601" t="s">
        <v>1467</v>
      </c>
      <c r="F605" s="601" t="s">
        <v>551</v>
      </c>
      <c r="G605" s="601">
        <v>112747</v>
      </c>
      <c r="H605" s="601">
        <v>92720</v>
      </c>
      <c r="I605" s="601">
        <v>41730</v>
      </c>
      <c r="J605" s="601">
        <v>66245</v>
      </c>
      <c r="K605" s="601">
        <v>279810</v>
      </c>
      <c r="L605" s="601" t="s">
        <v>23</v>
      </c>
    </row>
    <row r="606" spans="1:12" hidden="1">
      <c r="A606" s="601" t="s">
        <v>1579</v>
      </c>
      <c r="B606" s="601" t="str">
        <f t="shared" si="9"/>
        <v xml:space="preserve">FAST </v>
      </c>
      <c r="C606" s="601" t="str">
        <f>MID(Table3[[#This Row],[Statement Code]],FIND("- ",Table3[[#This Row],[Statement Code]])+2,100)</f>
        <v>OPERATING EXPENSES - TOTAL</v>
      </c>
      <c r="D606" s="602" t="s">
        <v>1580</v>
      </c>
      <c r="E606" s="601" t="s">
        <v>1467</v>
      </c>
      <c r="F606" s="601" t="s">
        <v>551</v>
      </c>
      <c r="G606" s="601">
        <v>18737736</v>
      </c>
      <c r="H606" s="601">
        <v>17671462</v>
      </c>
      <c r="I606" s="601">
        <v>17140006</v>
      </c>
      <c r="J606" s="601">
        <v>13974538</v>
      </c>
      <c r="K606" s="601">
        <v>16210787</v>
      </c>
      <c r="L606" s="601" t="s">
        <v>23</v>
      </c>
    </row>
    <row r="607" spans="1:12">
      <c r="A607" s="601" t="s">
        <v>1581</v>
      </c>
      <c r="B607" s="601" t="str">
        <f t="shared" si="9"/>
        <v xml:space="preserve">FAST </v>
      </c>
      <c r="C607" s="601" t="str">
        <f>MID(Table3[[#This Row],[Statement Code]],FIND("- ",Table3[[#This Row],[Statement Code]])+2,100)</f>
        <v>OPERATING INCOME</v>
      </c>
      <c r="D607" s="602" t="s">
        <v>1582</v>
      </c>
      <c r="E607" s="601" t="s">
        <v>1467</v>
      </c>
      <c r="F607" s="601" t="s">
        <v>551</v>
      </c>
      <c r="G607" s="601">
        <v>2426933</v>
      </c>
      <c r="H607" s="601">
        <v>1584194</v>
      </c>
      <c r="I607" s="601">
        <v>2256115</v>
      </c>
      <c r="J607" s="601">
        <v>2123974</v>
      </c>
      <c r="K607" s="601">
        <v>2523305</v>
      </c>
      <c r="L607" s="601" t="s">
        <v>23</v>
      </c>
    </row>
    <row r="608" spans="1:12" hidden="1">
      <c r="A608" s="601" t="s">
        <v>1583</v>
      </c>
      <c r="B608" s="601" t="str">
        <f t="shared" si="9"/>
        <v xml:space="preserve">FAST </v>
      </c>
      <c r="C608" s="601" t="str">
        <f>MID(Table3[[#This Row],[Statement Code]],FIND("- ",Table3[[#This Row],[Statement Code]])+2,100)</f>
        <v>PRETAX INCOME</v>
      </c>
      <c r="D608" s="602" t="s">
        <v>1584</v>
      </c>
      <c r="E608" s="601" t="s">
        <v>1467</v>
      </c>
      <c r="F608" s="601" t="s">
        <v>551</v>
      </c>
      <c r="G608" s="601">
        <v>2332611</v>
      </c>
      <c r="H608" s="601">
        <v>1465306</v>
      </c>
      <c r="I608" s="601">
        <v>2417677</v>
      </c>
      <c r="J608" s="601">
        <v>2893409</v>
      </c>
      <c r="K608" s="601">
        <v>2965417</v>
      </c>
      <c r="L608" s="601" t="s">
        <v>23</v>
      </c>
    </row>
    <row r="609" spans="1:12" hidden="1">
      <c r="A609" s="601" t="s">
        <v>1585</v>
      </c>
      <c r="B609" s="601" t="str">
        <f t="shared" si="9"/>
        <v xml:space="preserve">FAST </v>
      </c>
      <c r="C609" s="601" t="str">
        <f>MID(Table3[[#This Row],[Statement Code]],FIND("- ",Table3[[#This Row],[Statement Code]])+2,100)</f>
        <v>PROPERTY, PLANT &amp; EQUIP - NET</v>
      </c>
      <c r="D609" s="602" t="s">
        <v>1586</v>
      </c>
      <c r="E609" s="601" t="s">
        <v>1467</v>
      </c>
      <c r="F609" s="601" t="s">
        <v>551</v>
      </c>
      <c r="G609" s="601">
        <v>1497730</v>
      </c>
      <c r="H609" s="601">
        <v>5138434</v>
      </c>
      <c r="I609" s="601">
        <v>5080602</v>
      </c>
      <c r="J609" s="601">
        <v>4133621</v>
      </c>
      <c r="K609" s="601">
        <v>4137870</v>
      </c>
      <c r="L609" s="601" t="s">
        <v>23</v>
      </c>
    </row>
    <row r="610" spans="1:12" hidden="1">
      <c r="A610" s="601" t="s">
        <v>1587</v>
      </c>
      <c r="B610" s="601" t="str">
        <f t="shared" si="9"/>
        <v xml:space="preserve">FAST </v>
      </c>
      <c r="C610" s="601" t="str">
        <f>MID(Table3[[#This Row],[Statement Code]],FIND("- ",Table3[[#This Row],[Statement Code]])+2,100)</f>
        <v>RECEIVABLES(NET)</v>
      </c>
      <c r="D610" s="602" t="s">
        <v>1588</v>
      </c>
      <c r="E610" s="601" t="s">
        <v>1467</v>
      </c>
      <c r="F610" s="601" t="s">
        <v>551</v>
      </c>
      <c r="G610" s="601">
        <v>571864</v>
      </c>
      <c r="H610" s="601">
        <v>663264</v>
      </c>
      <c r="I610" s="601">
        <v>486842</v>
      </c>
      <c r="J610" s="601">
        <v>439317</v>
      </c>
      <c r="K610" s="601">
        <v>612771</v>
      </c>
      <c r="L610" s="601" t="s">
        <v>23</v>
      </c>
    </row>
    <row r="611" spans="1:12">
      <c r="A611" s="601" t="s">
        <v>1589</v>
      </c>
      <c r="B611" s="601" t="str">
        <f t="shared" si="9"/>
        <v xml:space="preserve">FAST </v>
      </c>
      <c r="C611" s="601" t="str">
        <f>MID(Table3[[#This Row],[Statement Code]],FIND("- ",Table3[[#This Row],[Statement Code]])+2,100)</f>
        <v>SELLING, GENERAL &amp; ADMINISTRAT</v>
      </c>
      <c r="D611" s="602" t="s">
        <v>1590</v>
      </c>
      <c r="E611" s="601" t="s">
        <v>1467</v>
      </c>
      <c r="F611" s="601" t="s">
        <v>551</v>
      </c>
      <c r="G611" s="601">
        <v>7446684</v>
      </c>
      <c r="H611" s="601">
        <v>6019392</v>
      </c>
      <c r="I611" s="601">
        <v>5824469</v>
      </c>
      <c r="J611" s="601">
        <v>5036231</v>
      </c>
      <c r="K611" s="601">
        <v>5874359</v>
      </c>
      <c r="L611" s="601" t="s">
        <v>23</v>
      </c>
    </row>
    <row r="612" spans="1:12" hidden="1">
      <c r="A612" s="601" t="s">
        <v>1591</v>
      </c>
      <c r="B612" s="601" t="str">
        <f t="shared" si="9"/>
        <v xml:space="preserve">FAST </v>
      </c>
      <c r="C612" s="601" t="str">
        <f>MID(Table3[[#This Row],[Statement Code]],FIND("- ",Table3[[#This Row],[Statement Code]])+2,100)</f>
        <v>SHORT TERM DEBT &amp; CURRENT PORT</v>
      </c>
      <c r="D612" s="602" t="s">
        <v>1592</v>
      </c>
      <c r="E612" s="601" t="s">
        <v>1467</v>
      </c>
      <c r="F612" s="601" t="s">
        <v>551</v>
      </c>
      <c r="G612" s="601">
        <v>137722</v>
      </c>
      <c r="H612" s="601">
        <v>2202684</v>
      </c>
      <c r="I612" s="601">
        <v>1184377</v>
      </c>
      <c r="J612" s="601">
        <v>1788295</v>
      </c>
      <c r="K612" s="601">
        <v>867520</v>
      </c>
      <c r="L612" s="601" t="s">
        <v>23</v>
      </c>
    </row>
    <row r="613" spans="1:12">
      <c r="A613" s="601" t="s">
        <v>1593</v>
      </c>
      <c r="B613" s="601" t="str">
        <f t="shared" si="9"/>
        <v xml:space="preserve">FAST </v>
      </c>
      <c r="C613" s="601" t="str">
        <f>MID(Table3[[#This Row],[Statement Code]],FIND("- ",Table3[[#This Row],[Statement Code]])+2,100)</f>
        <v>TOTAL ASSETS</v>
      </c>
      <c r="D613" s="602" t="s">
        <v>1594</v>
      </c>
      <c r="E613" s="601" t="s">
        <v>1467</v>
      </c>
      <c r="F613" s="601" t="s">
        <v>551</v>
      </c>
      <c r="G613" s="601">
        <v>18271134</v>
      </c>
      <c r="H613" s="601">
        <v>22684336</v>
      </c>
      <c r="I613" s="601">
        <v>22486590</v>
      </c>
      <c r="J613" s="601">
        <v>22213901</v>
      </c>
      <c r="K613" s="601">
        <v>22112653</v>
      </c>
      <c r="L613" s="601" t="s">
        <v>23</v>
      </c>
    </row>
    <row r="614" spans="1:12" hidden="1">
      <c r="A614" s="601" t="s">
        <v>1595</v>
      </c>
      <c r="B614" s="601" t="str">
        <f t="shared" si="9"/>
        <v xml:space="preserve">FAST </v>
      </c>
      <c r="C614" s="601" t="str">
        <f>MID(Table3[[#This Row],[Statement Code]],FIND("- ",Table3[[#This Row],[Statement Code]])+2,100)</f>
        <v>TOTAL CAPITAL</v>
      </c>
      <c r="D614" s="602" t="s">
        <v>1596</v>
      </c>
      <c r="E614" s="601" t="s">
        <v>1467</v>
      </c>
      <c r="F614" s="601" t="s">
        <v>551</v>
      </c>
      <c r="G614" s="601">
        <v>13693970</v>
      </c>
      <c r="H614" s="601">
        <v>16457774</v>
      </c>
      <c r="I614" s="601">
        <v>17053219</v>
      </c>
      <c r="J614" s="601">
        <v>15475048</v>
      </c>
      <c r="K614" s="601">
        <v>16602749</v>
      </c>
      <c r="L614" s="601" t="s">
        <v>23</v>
      </c>
    </row>
    <row r="615" spans="1:12">
      <c r="A615" s="601" t="s">
        <v>1597</v>
      </c>
      <c r="B615" s="601" t="str">
        <f t="shared" si="9"/>
        <v xml:space="preserve">FAST </v>
      </c>
      <c r="C615" s="601" t="str">
        <f>MID(Table3[[#This Row],[Statement Code]],FIND("- ",Table3[[#This Row],[Statement Code]])+2,100)</f>
        <v>TOTAL DEBT</v>
      </c>
      <c r="D615" s="602" t="s">
        <v>1598</v>
      </c>
      <c r="E615" s="601" t="s">
        <v>1467</v>
      </c>
      <c r="F615" s="601" t="s">
        <v>551</v>
      </c>
      <c r="G615" s="601">
        <v>4743836</v>
      </c>
      <c r="H615" s="601">
        <v>9112630</v>
      </c>
      <c r="I615" s="601">
        <v>7668371</v>
      </c>
      <c r="J615" s="601">
        <v>5962087</v>
      </c>
      <c r="K615" s="601">
        <v>4784574</v>
      </c>
      <c r="L615" s="601" t="s">
        <v>23</v>
      </c>
    </row>
    <row r="616" spans="1:12" hidden="1">
      <c r="A616" s="601" t="s">
        <v>1599</v>
      </c>
      <c r="B616" s="601" t="str">
        <f t="shared" si="9"/>
        <v xml:space="preserve">FAST </v>
      </c>
      <c r="C616" s="601" t="str">
        <f>MID(Table3[[#This Row],[Statement Code]],FIND("- ",Table3[[#This Row],[Statement Code]])+2,100)</f>
        <v>TOTAL INTANGIBLE OT ASSETS-NET</v>
      </c>
      <c r="D616" s="602" t="s">
        <v>1600</v>
      </c>
      <c r="E616" s="601" t="s">
        <v>1467</v>
      </c>
      <c r="F616" s="601" t="s">
        <v>551</v>
      </c>
      <c r="G616" s="601">
        <v>630251</v>
      </c>
      <c r="H616" s="601">
        <v>718188</v>
      </c>
      <c r="I616" s="601">
        <v>682286</v>
      </c>
      <c r="J616" s="601">
        <v>592647</v>
      </c>
      <c r="K616" s="601">
        <v>645959</v>
      </c>
      <c r="L616" s="601" t="s">
        <v>23</v>
      </c>
    </row>
    <row r="617" spans="1:12">
      <c r="A617" s="601" t="s">
        <v>1601</v>
      </c>
      <c r="B617" s="601" t="str">
        <f t="shared" si="9"/>
        <v xml:space="preserve">FAST </v>
      </c>
      <c r="C617" s="601" t="str">
        <f>MID(Table3[[#This Row],[Statement Code]],FIND("- ",Table3[[#This Row],[Statement Code]])+2,100)</f>
        <v>TOTAL LIABILITIES</v>
      </c>
      <c r="D617" s="602" t="s">
        <v>1602</v>
      </c>
      <c r="E617" s="601" t="s">
        <v>1467</v>
      </c>
      <c r="F617" s="601" t="s">
        <v>551</v>
      </c>
      <c r="G617" s="601">
        <v>9183278</v>
      </c>
      <c r="H617" s="601">
        <v>13136489</v>
      </c>
      <c r="I617" s="601">
        <v>11917365</v>
      </c>
      <c r="J617" s="601">
        <v>10912645</v>
      </c>
      <c r="K617" s="601">
        <v>9426958</v>
      </c>
      <c r="L617" s="601" t="s">
        <v>23</v>
      </c>
    </row>
    <row r="618" spans="1:12" hidden="1">
      <c r="A618" s="601" t="s">
        <v>1603</v>
      </c>
      <c r="B618" s="601" t="str">
        <f t="shared" si="9"/>
        <v xml:space="preserve">FAST </v>
      </c>
      <c r="C618" s="601" t="str">
        <f>MID(Table3[[#This Row],[Statement Code]],FIND("- ",Table3[[#This Row],[Statement Code]])+2,100)</f>
        <v>TOTAL LIABILITIES &amp; SHAREHOLDE</v>
      </c>
      <c r="D618" s="602" t="s">
        <v>1604</v>
      </c>
      <c r="E618" s="601" t="s">
        <v>1467</v>
      </c>
      <c r="F618" s="601" t="s">
        <v>551</v>
      </c>
      <c r="G618" s="601">
        <v>18271134</v>
      </c>
      <c r="H618" s="601">
        <v>22684336</v>
      </c>
      <c r="I618" s="601">
        <v>22486590</v>
      </c>
      <c r="J618" s="601">
        <v>22213901</v>
      </c>
      <c r="K618" s="601">
        <v>22112653</v>
      </c>
      <c r="L618" s="601" t="s">
        <v>23</v>
      </c>
    </row>
    <row r="619" spans="1:12" hidden="1">
      <c r="A619" s="601" t="s">
        <v>1605</v>
      </c>
      <c r="B619" s="601" t="str">
        <f t="shared" si="9"/>
        <v xml:space="preserve">FAST </v>
      </c>
      <c r="C619" s="601" t="str">
        <f>MID(Table3[[#This Row],[Statement Code]],FIND("- ",Table3[[#This Row],[Statement Code]])+2,100)</f>
        <v>TOTAL SHAREHOLDERS EQUITY</v>
      </c>
      <c r="D619" s="602" t="s">
        <v>1606</v>
      </c>
      <c r="E619" s="601" t="s">
        <v>1467</v>
      </c>
      <c r="F619" s="601" t="s">
        <v>551</v>
      </c>
      <c r="G619" s="601">
        <v>8672860</v>
      </c>
      <c r="H619" s="601">
        <v>9169069</v>
      </c>
      <c r="I619" s="601">
        <v>10152630</v>
      </c>
      <c r="J619" s="601">
        <v>10925224</v>
      </c>
      <c r="K619" s="601">
        <v>12333875</v>
      </c>
      <c r="L619" s="601" t="s">
        <v>23</v>
      </c>
    </row>
    <row r="620" spans="1:12" hidden="1">
      <c r="A620" s="601" t="s">
        <v>1607</v>
      </c>
      <c r="B620" s="601" t="str">
        <f t="shared" si="9"/>
        <v xml:space="preserve">FAST </v>
      </c>
      <c r="C620" s="601" t="str">
        <f>MID(Table3[[#This Row],[Statement Code]],FIND("- ",Table3[[#This Row],[Statement Code]])+2,100)</f>
        <v>WORKING CAPITAL</v>
      </c>
      <c r="D620" s="602" t="s">
        <v>1608</v>
      </c>
      <c r="E620" s="601" t="s">
        <v>1467</v>
      </c>
      <c r="F620" s="601" t="s">
        <v>551</v>
      </c>
      <c r="G620" s="601">
        <v>10732411</v>
      </c>
      <c r="H620" s="601">
        <v>9659584</v>
      </c>
      <c r="I620" s="601">
        <v>10399761</v>
      </c>
      <c r="J620" s="601">
        <v>9112975</v>
      </c>
      <c r="K620" s="601">
        <v>9801490</v>
      </c>
      <c r="L620" s="601" t="s">
        <v>23</v>
      </c>
    </row>
    <row r="621" spans="1:12" hidden="1">
      <c r="A621" s="601" t="s">
        <v>1609</v>
      </c>
      <c r="B621" s="601" t="str">
        <f t="shared" si="9"/>
        <v xml:space="preserve">FAST </v>
      </c>
      <c r="C621" s="601" t="str">
        <f>MID(Table3[[#This Row],[Statement Code]],FIND("- ",Table3[[#This Row],[Statement Code]])+2,100)</f>
        <v>BK VAL PS 12M FWD</v>
      </c>
      <c r="D621" s="602" t="s">
        <v>1610</v>
      </c>
      <c r="E621" s="601" t="s">
        <v>1467</v>
      </c>
      <c r="F621" s="601" t="s">
        <v>551</v>
      </c>
      <c r="G621" s="601">
        <v>34.53</v>
      </c>
      <c r="H621" s="601">
        <v>34.200000000000003</v>
      </c>
      <c r="I621" s="601">
        <v>36.619999999999997</v>
      </c>
      <c r="J621" s="601">
        <v>33</v>
      </c>
      <c r="K621" s="601">
        <v>42.41</v>
      </c>
      <c r="L621" s="601">
        <v>50.78</v>
      </c>
    </row>
    <row r="622" spans="1:12" hidden="1">
      <c r="A622" s="601" t="s">
        <v>1611</v>
      </c>
      <c r="B622" s="601" t="str">
        <f t="shared" si="9"/>
        <v xml:space="preserve">FAST </v>
      </c>
      <c r="C622" s="601" t="str">
        <f>MID(Table3[[#This Row],[Statement Code]],FIND("- ",Table3[[#This Row],[Statement Code]])+2,100)</f>
        <v>EV 12M FWD</v>
      </c>
      <c r="D622" s="602" t="s">
        <v>1612</v>
      </c>
      <c r="E622" s="601" t="s">
        <v>1467</v>
      </c>
      <c r="F622" s="601" t="s">
        <v>551</v>
      </c>
      <c r="G622" s="601">
        <v>57171563.990000002</v>
      </c>
      <c r="H622" s="601">
        <v>56296578.899999999</v>
      </c>
      <c r="I622" s="601">
        <v>66348067.920000002</v>
      </c>
      <c r="J622" s="601">
        <v>49428166.030000001</v>
      </c>
      <c r="K622" s="601">
        <v>61387078.600000001</v>
      </c>
      <c r="L622" s="601">
        <v>94104995.219999999</v>
      </c>
    </row>
    <row r="623" spans="1:12" hidden="1">
      <c r="A623" s="601" t="s">
        <v>1613</v>
      </c>
      <c r="B623" s="601" t="str">
        <f t="shared" si="9"/>
        <v xml:space="preserve">FAST </v>
      </c>
      <c r="C623" s="601" t="str">
        <f>MID(Table3[[#This Row],[Statement Code]],FIND("- ",Table3[[#This Row],[Statement Code]])+2,100)</f>
        <v>NET INCOME 12M FWD</v>
      </c>
      <c r="D623" s="602" t="s">
        <v>1614</v>
      </c>
      <c r="E623" s="601" t="s">
        <v>1467</v>
      </c>
      <c r="F623" s="601" t="s">
        <v>551</v>
      </c>
      <c r="G623" s="601">
        <v>1765764.45</v>
      </c>
      <c r="H623" s="601">
        <v>1586149.37</v>
      </c>
      <c r="I623" s="601">
        <v>1951364.97</v>
      </c>
      <c r="J623" s="601">
        <v>1570180.48</v>
      </c>
      <c r="K623" s="601">
        <v>1993397.07</v>
      </c>
      <c r="L623" s="601">
        <v>2580593.91</v>
      </c>
    </row>
    <row r="624" spans="1:12" hidden="1">
      <c r="A624" s="601" t="s">
        <v>1615</v>
      </c>
      <c r="B624" s="601" t="str">
        <f t="shared" si="9"/>
        <v xml:space="preserve">FAST </v>
      </c>
      <c r="C624" s="601" t="str">
        <f>MID(Table3[[#This Row],[Statement Code]],FIND("- ",Table3[[#This Row],[Statement Code]])+2,100)</f>
        <v>PRETAX PRF 12M FWD</v>
      </c>
      <c r="D624" s="602" t="s">
        <v>1616</v>
      </c>
      <c r="E624" s="601" t="s">
        <v>1467</v>
      </c>
      <c r="F624" s="601" t="s">
        <v>551</v>
      </c>
      <c r="G624" s="601">
        <v>2775695.53</v>
      </c>
      <c r="H624" s="601">
        <v>2426072.58</v>
      </c>
      <c r="I624" s="601">
        <v>2793639.69</v>
      </c>
      <c r="J624" s="601">
        <v>2345913.1800000002</v>
      </c>
      <c r="K624" s="601">
        <v>3009197.44</v>
      </c>
      <c r="L624" s="601">
        <v>3911033.04</v>
      </c>
    </row>
    <row r="625" spans="1:12" hidden="1">
      <c r="A625" s="601" t="s">
        <v>1617</v>
      </c>
      <c r="B625" s="601" t="str">
        <f t="shared" si="9"/>
        <v xml:space="preserve">FAST </v>
      </c>
      <c r="C625" s="601" t="str">
        <f>MID(Table3[[#This Row],[Statement Code]],FIND("- ",Table3[[#This Row],[Statement Code]])+2,100)</f>
        <v>ROE 12M FWD</v>
      </c>
      <c r="D625" s="602" t="s">
        <v>1618</v>
      </c>
      <c r="E625" s="601" t="s">
        <v>1467</v>
      </c>
      <c r="F625" s="601" t="s">
        <v>551</v>
      </c>
      <c r="G625" s="601">
        <v>0.17</v>
      </c>
      <c r="H625" s="601">
        <v>0.15</v>
      </c>
      <c r="I625" s="601">
        <v>0.16</v>
      </c>
      <c r="J625" s="601">
        <v>0.11</v>
      </c>
      <c r="K625" s="601">
        <v>0.11</v>
      </c>
      <c r="L625" s="601">
        <v>0.12</v>
      </c>
    </row>
    <row r="626" spans="1:12" hidden="1">
      <c r="A626" s="601" t="s">
        <v>1619</v>
      </c>
      <c r="B626" s="601" t="str">
        <f t="shared" si="9"/>
        <v xml:space="preserve">FAST </v>
      </c>
      <c r="C626" s="601" t="str">
        <f>MID(Table3[[#This Row],[Statement Code]],FIND("- ",Table3[[#This Row],[Statement Code]])+2,100)</f>
        <v>SALES 12M FWD</v>
      </c>
      <c r="D626" s="602" t="s">
        <v>1620</v>
      </c>
      <c r="E626" s="601" t="s">
        <v>1467</v>
      </c>
      <c r="F626" s="601" t="s">
        <v>551</v>
      </c>
      <c r="G626" s="601">
        <v>23039945</v>
      </c>
      <c r="H626" s="601">
        <v>22231570.920000002</v>
      </c>
      <c r="I626" s="601">
        <v>21835646.420000002</v>
      </c>
      <c r="J626" s="601">
        <v>17309938</v>
      </c>
      <c r="K626" s="601">
        <v>20608768.82</v>
      </c>
      <c r="L626" s="601">
        <v>23462241.600000001</v>
      </c>
    </row>
    <row r="627" spans="1:12" hidden="1">
      <c r="A627" s="601" t="s">
        <v>1621</v>
      </c>
      <c r="B627" s="601" t="str">
        <f t="shared" si="9"/>
        <v xml:space="preserve">FAST </v>
      </c>
      <c r="C627" s="601" t="str">
        <f>MID(Table3[[#This Row],[Statement Code]],FIND("- ",Table3[[#This Row],[Statement Code]])+2,100)</f>
        <v>DECREASE/INCREASE RECEIVABLES</v>
      </c>
      <c r="D627" s="602" t="s">
        <v>1622</v>
      </c>
      <c r="E627" s="601" t="s">
        <v>1467</v>
      </c>
      <c r="F627" s="601" t="s">
        <v>551</v>
      </c>
      <c r="G627" s="601">
        <v>-58230</v>
      </c>
      <c r="H627" s="601">
        <v>-39914</v>
      </c>
      <c r="I627" s="601">
        <v>139438</v>
      </c>
      <c r="J627" s="601">
        <v>-18546</v>
      </c>
      <c r="K627" s="601">
        <v>-51024</v>
      </c>
      <c r="L627" s="601" t="s">
        <v>23</v>
      </c>
    </row>
    <row r="628" spans="1:12" hidden="1">
      <c r="A628" s="601" t="s">
        <v>1623</v>
      </c>
      <c r="B628" s="601" t="str">
        <f t="shared" si="9"/>
        <v xml:space="preserve">FAST </v>
      </c>
      <c r="C628" s="601" t="str">
        <f>MID(Table3[[#This Row],[Statement Code]],FIND("- ",Table3[[#This Row],[Statement Code]])+2,100)</f>
        <v>DECREASE/INCR OTH ASTS/LIABILT</v>
      </c>
      <c r="D628" s="602" t="s">
        <v>1624</v>
      </c>
      <c r="E628" s="601" t="s">
        <v>1467</v>
      </c>
      <c r="F628" s="601" t="s">
        <v>551</v>
      </c>
      <c r="G628" s="601">
        <v>367872</v>
      </c>
      <c r="H628" s="601">
        <v>-324764</v>
      </c>
      <c r="I628" s="601">
        <v>116341</v>
      </c>
      <c r="J628" s="601">
        <v>-116524</v>
      </c>
      <c r="K628" s="601">
        <v>31515</v>
      </c>
      <c r="L628" s="601" t="s">
        <v>23</v>
      </c>
    </row>
    <row r="629" spans="1:12" hidden="1">
      <c r="A629" s="601" t="s">
        <v>1625</v>
      </c>
      <c r="B629" s="601" t="str">
        <f t="shared" si="9"/>
        <v xml:space="preserve">FAST </v>
      </c>
      <c r="C629" s="601" t="str">
        <f>MID(Table3[[#This Row],[Statement Code]],FIND("- ",Table3[[#This Row],[Statement Code]])+2,100)</f>
        <v>DECREASE/INCREASE INVENTORIES</v>
      </c>
      <c r="D629" s="602" t="s">
        <v>1626</v>
      </c>
      <c r="E629" s="601" t="s">
        <v>1467</v>
      </c>
      <c r="F629" s="601" t="s">
        <v>551</v>
      </c>
      <c r="G629" s="601">
        <v>352460</v>
      </c>
      <c r="H629" s="601">
        <v>-25545</v>
      </c>
      <c r="I629" s="601">
        <v>334173</v>
      </c>
      <c r="J629" s="601">
        <v>-356065</v>
      </c>
      <c r="K629" s="601">
        <v>317643</v>
      </c>
      <c r="L629" s="601" t="s">
        <v>23</v>
      </c>
    </row>
    <row r="630" spans="1:12" hidden="1">
      <c r="A630" s="601" t="s">
        <v>1627</v>
      </c>
      <c r="B630" s="601" t="str">
        <f t="shared" si="9"/>
        <v xml:space="preserve">FAST </v>
      </c>
      <c r="C630" s="601" t="str">
        <f>MID(Table3[[#This Row],[Statement Code]],FIND("- ",Table3[[#This Row],[Statement Code]])+2,100)</f>
        <v>DECREASE IN INVESTMENTS</v>
      </c>
      <c r="D630" s="602" t="s">
        <v>1628</v>
      </c>
      <c r="E630" s="601" t="s">
        <v>1467</v>
      </c>
      <c r="F630" s="601" t="s">
        <v>551</v>
      </c>
      <c r="G630" s="601">
        <v>852409</v>
      </c>
      <c r="H630" s="601">
        <v>800403</v>
      </c>
      <c r="I630" s="601">
        <v>908820</v>
      </c>
      <c r="J630" s="601">
        <v>886903</v>
      </c>
      <c r="K630" s="601">
        <v>2658162</v>
      </c>
      <c r="L630" s="601" t="s">
        <v>23</v>
      </c>
    </row>
    <row r="631" spans="1:12" hidden="1">
      <c r="A631" s="601" t="s">
        <v>1629</v>
      </c>
      <c r="B631" s="601" t="str">
        <f t="shared" si="9"/>
        <v xml:space="preserve">NIKE </v>
      </c>
      <c r="C631" s="601" t="str">
        <f>MID(Table3[[#This Row],[Statement Code]],FIND("- ",Table3[[#This Row],[Statement Code]])+2,100)</f>
        <v>MARKET VALUE</v>
      </c>
      <c r="D631" s="602" t="s">
        <v>1630</v>
      </c>
      <c r="E631" s="601" t="s">
        <v>1631</v>
      </c>
      <c r="F631" s="601" t="s">
        <v>551</v>
      </c>
      <c r="G631" s="601">
        <v>110264.2</v>
      </c>
      <c r="H631" s="601">
        <v>142736.9</v>
      </c>
      <c r="I631" s="601">
        <v>199918.1</v>
      </c>
      <c r="J631" s="601">
        <v>131571.5</v>
      </c>
      <c r="K631" s="601">
        <v>117006.8</v>
      </c>
      <c r="L631" s="601">
        <v>97198.31</v>
      </c>
    </row>
    <row r="632" spans="1:12" hidden="1">
      <c r="A632" s="601" t="s">
        <v>1632</v>
      </c>
      <c r="B632" s="601" t="str">
        <f t="shared" si="9"/>
        <v xml:space="preserve">NIKE </v>
      </c>
      <c r="C632" s="601" t="str">
        <f>MID(Table3[[#This Row],[Statement Code]],FIND("- ",Table3[[#This Row],[Statement Code]])+2,100)</f>
        <v>PER</v>
      </c>
      <c r="D632" s="602" t="s">
        <v>1633</v>
      </c>
      <c r="E632" s="601" t="s">
        <v>1631</v>
      </c>
      <c r="F632" s="601" t="s">
        <v>551</v>
      </c>
      <c r="G632" s="601">
        <v>35.4</v>
      </c>
      <c r="H632" s="601">
        <v>71.900000000000006</v>
      </c>
      <c r="I632" s="601">
        <v>44</v>
      </c>
      <c r="J632" s="601">
        <v>27.7</v>
      </c>
      <c r="K632" s="601">
        <v>29.6</v>
      </c>
      <c r="L632" s="601">
        <v>21.7</v>
      </c>
    </row>
    <row r="633" spans="1:12" hidden="1">
      <c r="A633" s="601" t="s">
        <v>1634</v>
      </c>
      <c r="B633" s="601" t="str">
        <f t="shared" si="9"/>
        <v xml:space="preserve">NIKE </v>
      </c>
      <c r="C633" s="601" t="str">
        <f>MID(Table3[[#This Row],[Statement Code]],FIND("- ",Table3[[#This Row],[Statement Code]])+2,100)</f>
        <v>12MTH FORWARD EPS</v>
      </c>
      <c r="D633" s="602" t="s">
        <v>1635</v>
      </c>
      <c r="E633" s="601" t="s">
        <v>1631</v>
      </c>
      <c r="F633" s="601" t="s">
        <v>551</v>
      </c>
      <c r="G633" s="601">
        <v>3.0230000000000001</v>
      </c>
      <c r="H633" s="601">
        <v>2.71</v>
      </c>
      <c r="I633" s="601">
        <v>4.5369999999999999</v>
      </c>
      <c r="J633" s="601">
        <v>3.9870000000000001</v>
      </c>
      <c r="K633" s="601">
        <v>3.94</v>
      </c>
      <c r="L633" s="601">
        <v>3.2029999999999998</v>
      </c>
    </row>
    <row r="634" spans="1:12" hidden="1">
      <c r="A634" s="601" t="s">
        <v>1636</v>
      </c>
      <c r="B634" s="601" t="str">
        <f t="shared" si="9"/>
        <v xml:space="preserve">NIKE </v>
      </c>
      <c r="C634" s="601" t="e">
        <f>MID(Table3[[#This Row],[Statement Code]],FIND("- ",Table3[[#This Row],[Statement Code]])+2,100)</f>
        <v>#VALUE!</v>
      </c>
      <c r="D634" s="602" t="s">
        <v>1637</v>
      </c>
      <c r="E634" s="601" t="s">
        <v>1631</v>
      </c>
      <c r="F634" s="601" t="s">
        <v>551</v>
      </c>
      <c r="G634" s="601">
        <v>3.73</v>
      </c>
      <c r="H634" s="601">
        <v>2.2850000000000001</v>
      </c>
      <c r="I634" s="601">
        <v>2.8730000000000002</v>
      </c>
      <c r="J634" s="601">
        <v>3.726</v>
      </c>
      <c r="K634" s="601">
        <v>4.0990000000000002</v>
      </c>
      <c r="L634" s="601">
        <v>3.96</v>
      </c>
    </row>
    <row r="635" spans="1:12" hidden="1">
      <c r="A635" s="601" t="s">
        <v>1636</v>
      </c>
      <c r="B635" s="601" t="str">
        <f t="shared" si="9"/>
        <v xml:space="preserve">NIKE </v>
      </c>
      <c r="C635" s="601" t="e">
        <f>MID(Table3[[#This Row],[Statement Code]],FIND("- ",Table3[[#This Row],[Statement Code]])+2,100)</f>
        <v>#VALUE!</v>
      </c>
      <c r="D635" s="602" t="s">
        <v>1638</v>
      </c>
      <c r="E635" s="601" t="s">
        <v>1631</v>
      </c>
      <c r="F635" s="601" t="s">
        <v>551</v>
      </c>
      <c r="G635" s="601">
        <v>24.35</v>
      </c>
      <c r="H635" s="601">
        <v>36.302</v>
      </c>
      <c r="I635" s="601">
        <v>28.488</v>
      </c>
      <c r="J635" s="601">
        <v>21.527999999999999</v>
      </c>
      <c r="K635" s="601">
        <v>19.981000000000002</v>
      </c>
      <c r="L635" s="601">
        <v>21.488</v>
      </c>
    </row>
    <row r="636" spans="1:12" hidden="1">
      <c r="A636" s="601" t="s">
        <v>1636</v>
      </c>
      <c r="B636" s="601" t="str">
        <f t="shared" si="9"/>
        <v xml:space="preserve">NIKE </v>
      </c>
      <c r="C636" s="601" t="e">
        <f>MID(Table3[[#This Row],[Statement Code]],FIND("- ",Table3[[#This Row],[Statement Code]])+2,100)</f>
        <v>#VALUE!</v>
      </c>
      <c r="D636" s="602" t="s">
        <v>1639</v>
      </c>
      <c r="E636" s="601" t="s">
        <v>1631</v>
      </c>
      <c r="F636" s="601" t="s">
        <v>551</v>
      </c>
      <c r="G636" s="601">
        <v>21.14</v>
      </c>
      <c r="H636" s="601">
        <v>30.728000000000002</v>
      </c>
      <c r="I636" s="601">
        <v>25.896999999999998</v>
      </c>
      <c r="J636" s="601">
        <v>19.594999999999999</v>
      </c>
      <c r="K636" s="601">
        <v>18</v>
      </c>
      <c r="L636" s="601">
        <v>18.681000000000001</v>
      </c>
    </row>
    <row r="637" spans="1:12" hidden="1">
      <c r="A637" s="601" t="s">
        <v>1636</v>
      </c>
      <c r="B637" s="601" t="str">
        <f t="shared" si="9"/>
        <v xml:space="preserve">NIKE </v>
      </c>
      <c r="C637" s="601" t="e">
        <f>MID(Table3[[#This Row],[Statement Code]],FIND("- ",Table3[[#This Row],[Statement Code]])+2,100)</f>
        <v>#VALUE!</v>
      </c>
      <c r="D637" s="602" t="s">
        <v>1640</v>
      </c>
      <c r="E637" s="601" t="s">
        <v>1631</v>
      </c>
      <c r="F637" s="601" t="s">
        <v>551</v>
      </c>
      <c r="G637" s="601">
        <v>3.0285000000000002</v>
      </c>
      <c r="H637" s="601">
        <v>2.1337999999999999</v>
      </c>
      <c r="I637" s="601">
        <v>2.3014999999999999</v>
      </c>
      <c r="J637" s="601">
        <v>3.5503999999999998</v>
      </c>
      <c r="K637" s="601">
        <v>3.5388999999999999</v>
      </c>
      <c r="L637" s="601">
        <v>3.5093000000000001</v>
      </c>
    </row>
    <row r="638" spans="1:12" hidden="1">
      <c r="A638" s="601" t="s">
        <v>1636</v>
      </c>
      <c r="B638" s="601" t="str">
        <f t="shared" si="9"/>
        <v xml:space="preserve">NIKE </v>
      </c>
      <c r="C638" s="601" t="e">
        <f>MID(Table3[[#This Row],[Statement Code]],FIND("- ",Table3[[#This Row],[Statement Code]])+2,100)</f>
        <v>#VALUE!</v>
      </c>
      <c r="D638" s="602" t="s">
        <v>1641</v>
      </c>
      <c r="E638" s="601" t="s">
        <v>1631</v>
      </c>
      <c r="F638" s="601" t="s">
        <v>551</v>
      </c>
      <c r="G638" s="601">
        <v>3.1739999999999999</v>
      </c>
      <c r="H638" s="601">
        <v>4.3520000000000003</v>
      </c>
      <c r="I638" s="601">
        <v>4.7080000000000002</v>
      </c>
      <c r="J638" s="601">
        <v>3.0779999999999998</v>
      </c>
      <c r="K638" s="601">
        <v>2.62</v>
      </c>
      <c r="L638" s="601">
        <v>2.4</v>
      </c>
    </row>
    <row r="639" spans="1:12" hidden="1">
      <c r="A639" s="601" t="s">
        <v>1636</v>
      </c>
      <c r="B639" s="601" t="str">
        <f t="shared" si="9"/>
        <v xml:space="preserve">NIKE </v>
      </c>
      <c r="C639" s="601" t="e">
        <f>MID(Table3[[#This Row],[Statement Code]],FIND("- ",Table3[[#This Row],[Statement Code]])+2,100)</f>
        <v>#VALUE!</v>
      </c>
      <c r="D639" s="602" t="s">
        <v>1642</v>
      </c>
      <c r="E639" s="601" t="s">
        <v>1631</v>
      </c>
      <c r="F639" s="601" t="s">
        <v>551</v>
      </c>
      <c r="G639" s="601">
        <v>9.7000000000000003E-2</v>
      </c>
      <c r="H639" s="601">
        <v>0.39100000000000001</v>
      </c>
      <c r="I639" s="601">
        <v>-0.53500000000000003</v>
      </c>
      <c r="J639" s="601">
        <v>-0.314</v>
      </c>
      <c r="K639" s="601">
        <v>0.214</v>
      </c>
      <c r="L639" s="601">
        <v>0.28299999999999997</v>
      </c>
    </row>
    <row r="640" spans="1:12" hidden="1">
      <c r="A640" s="601" t="s">
        <v>1636</v>
      </c>
      <c r="B640" s="601" t="str">
        <f t="shared" si="9"/>
        <v xml:space="preserve">NIKE </v>
      </c>
      <c r="C640" s="601" t="e">
        <f>MID(Table3[[#This Row],[Statement Code]],FIND("- ",Table3[[#This Row],[Statement Code]])+2,100)</f>
        <v>#VALUE!</v>
      </c>
      <c r="D640" s="602" t="s">
        <v>1643</v>
      </c>
      <c r="E640" s="601" t="s">
        <v>1631</v>
      </c>
      <c r="F640" s="601" t="s">
        <v>551</v>
      </c>
      <c r="G640" s="601">
        <v>5.0000000000000001E-3</v>
      </c>
      <c r="H640" s="601">
        <v>1.2999999999999999E-2</v>
      </c>
      <c r="I640" s="601">
        <v>-2.1999999999999999E-2</v>
      </c>
      <c r="J640" s="601">
        <v>-1.4999999999999999E-2</v>
      </c>
      <c r="K640" s="601">
        <v>1.0999999999999999E-2</v>
      </c>
      <c r="L640" s="601">
        <v>1.4E-2</v>
      </c>
    </row>
    <row r="641" spans="1:12" hidden="1">
      <c r="A641" s="601" t="s">
        <v>1636</v>
      </c>
      <c r="B641" s="601" t="str">
        <f t="shared" si="9"/>
        <v xml:space="preserve">NIKE </v>
      </c>
      <c r="C641" s="601" t="e">
        <f>MID(Table3[[#This Row],[Statement Code]],FIND("- ",Table3[[#This Row],[Statement Code]])+2,100)</f>
        <v>#VALUE!</v>
      </c>
      <c r="D641" s="602" t="s">
        <v>1644</v>
      </c>
      <c r="E641" s="601" t="s">
        <v>1631</v>
      </c>
      <c r="F641" s="601" t="s">
        <v>551</v>
      </c>
      <c r="G641" s="601">
        <v>1.59</v>
      </c>
      <c r="H641" s="601">
        <v>1.96</v>
      </c>
      <c r="I641" s="601">
        <v>1.6</v>
      </c>
      <c r="J641" s="601">
        <v>1.59</v>
      </c>
      <c r="K641" s="601">
        <v>1.3</v>
      </c>
      <c r="L641" s="601">
        <v>1.19</v>
      </c>
    </row>
    <row r="642" spans="1:12" hidden="1">
      <c r="A642" s="601" t="s">
        <v>1636</v>
      </c>
      <c r="B642" s="601" t="str">
        <f t="shared" si="9"/>
        <v xml:space="preserve">NIKE </v>
      </c>
      <c r="C642" s="601" t="e">
        <f>MID(Table3[[#This Row],[Statement Code]],FIND("- ",Table3[[#This Row],[Statement Code]])+2,100)</f>
        <v>#VALUE!</v>
      </c>
      <c r="D642" s="602" t="s">
        <v>1645</v>
      </c>
      <c r="E642" s="601" t="s">
        <v>1631</v>
      </c>
      <c r="F642" s="601" t="s">
        <v>551</v>
      </c>
      <c r="G642" s="601">
        <v>1.19</v>
      </c>
      <c r="H642" s="601">
        <v>1.1200000000000001</v>
      </c>
      <c r="I642" s="601">
        <v>1.1000000000000001</v>
      </c>
      <c r="J642" s="601">
        <v>1.1499999999999999</v>
      </c>
      <c r="K642" s="601">
        <v>1.1200000000000001</v>
      </c>
      <c r="L642" s="601">
        <v>1.2</v>
      </c>
    </row>
    <row r="643" spans="1:12" hidden="1">
      <c r="A643" s="601" t="s">
        <v>1636</v>
      </c>
      <c r="B643" s="601" t="str">
        <f t="shared" ref="B643:B706" si="10">LEFT(A643,FIND(" ",A643))</f>
        <v xml:space="preserve">NIKE </v>
      </c>
      <c r="C643" s="601" t="e">
        <f>MID(Table3[[#This Row],[Statement Code]],FIND("- ",Table3[[#This Row],[Statement Code]])+2,100)</f>
        <v>#VALUE!</v>
      </c>
      <c r="D643" s="602" t="s">
        <v>1646</v>
      </c>
      <c r="E643" s="601" t="s">
        <v>1631</v>
      </c>
      <c r="F643" s="601" t="s">
        <v>551</v>
      </c>
      <c r="G643" s="601">
        <v>16.349</v>
      </c>
      <c r="H643" s="601">
        <v>20.987200000000001</v>
      </c>
      <c r="I643" s="601">
        <v>14.901899999999999</v>
      </c>
      <c r="J643" s="601">
        <v>10.2682</v>
      </c>
      <c r="K643" s="601">
        <v>10.952999999999999</v>
      </c>
      <c r="L643" s="601">
        <v>8.5451999999999995</v>
      </c>
    </row>
    <row r="644" spans="1:12">
      <c r="A644" s="601" t="s">
        <v>1647</v>
      </c>
      <c r="B644" s="601" t="str">
        <f t="shared" si="10"/>
        <v xml:space="preserve">NIKE </v>
      </c>
      <c r="C644" s="601" t="str">
        <f>MID(Table3[[#This Row],[Statement Code]],FIND("- ",Table3[[#This Row],[Statement Code]])+2,100)</f>
        <v>12MTH TRAILING EPS</v>
      </c>
      <c r="D644" s="602" t="s">
        <v>1648</v>
      </c>
      <c r="E644" s="601" t="s">
        <v>1631</v>
      </c>
      <c r="F644" s="601" t="s">
        <v>551</v>
      </c>
      <c r="G644" s="601">
        <v>2.5920000000000001</v>
      </c>
      <c r="H644" s="601">
        <v>1.86</v>
      </c>
      <c r="I644" s="601">
        <v>3.8</v>
      </c>
      <c r="J644" s="601">
        <v>3.74</v>
      </c>
      <c r="K644" s="601">
        <v>3.3929999999999998</v>
      </c>
      <c r="L644" s="601">
        <v>3.734</v>
      </c>
    </row>
    <row r="645" spans="1:12" hidden="1">
      <c r="A645" s="601" t="s">
        <v>1649</v>
      </c>
      <c r="B645" s="601" t="str">
        <f t="shared" si="10"/>
        <v xml:space="preserve">NIKE </v>
      </c>
      <c r="C645" s="601" t="str">
        <f>MID(Table3[[#This Row],[Statement Code]],FIND("- ",Table3[[#This Row],[Statement Code]])+2,100)</f>
        <v>DIV.PER SHR.</v>
      </c>
      <c r="D645" s="602" t="s">
        <v>1650</v>
      </c>
      <c r="E645" s="601" t="s">
        <v>1631</v>
      </c>
      <c r="F645" s="601" t="s">
        <v>551</v>
      </c>
      <c r="G645" s="601">
        <v>0.88</v>
      </c>
      <c r="H645" s="601">
        <v>0.98</v>
      </c>
      <c r="I645" s="601">
        <v>1.1000000000000001</v>
      </c>
      <c r="J645" s="601">
        <v>1.22</v>
      </c>
      <c r="K645" s="601">
        <v>1.36</v>
      </c>
      <c r="L645" s="601">
        <v>1.48</v>
      </c>
    </row>
    <row r="646" spans="1:12" hidden="1">
      <c r="A646" s="601" t="s">
        <v>1636</v>
      </c>
      <c r="B646" s="601" t="str">
        <f t="shared" si="10"/>
        <v xml:space="preserve">NIKE </v>
      </c>
      <c r="C646" s="601" t="e">
        <f>MID(Table3[[#This Row],[Statement Code]],FIND("- ",Table3[[#This Row],[Statement Code]])+2,100)</f>
        <v>#VALUE!</v>
      </c>
      <c r="D646" s="602" t="s">
        <v>1651</v>
      </c>
      <c r="E646" s="601" t="s">
        <v>1631</v>
      </c>
      <c r="F646" s="601" t="s">
        <v>551</v>
      </c>
      <c r="G646" s="601">
        <v>1.163</v>
      </c>
      <c r="H646" s="601">
        <v>0.877</v>
      </c>
      <c r="I646" s="601">
        <v>0.76200000000000001</v>
      </c>
      <c r="J646" s="601">
        <v>1.2150000000000001</v>
      </c>
      <c r="K646" s="601">
        <v>1.508</v>
      </c>
      <c r="L646" s="601">
        <v>1.8839999999999999</v>
      </c>
    </row>
    <row r="647" spans="1:12" hidden="1">
      <c r="A647" s="601" t="s">
        <v>1634</v>
      </c>
      <c r="B647" s="601" t="str">
        <f t="shared" si="10"/>
        <v xml:space="preserve">NIKE </v>
      </c>
      <c r="C647" s="601" t="str">
        <f>MID(Table3[[#This Row],[Statement Code]],FIND("- ",Table3[[#This Row],[Statement Code]])+2,100)</f>
        <v>12MTH FORWARD EPS</v>
      </c>
      <c r="D647" s="602" t="s">
        <v>1635</v>
      </c>
      <c r="E647" s="601" t="s">
        <v>1631</v>
      </c>
      <c r="F647" s="601" t="s">
        <v>551</v>
      </c>
      <c r="G647" s="601">
        <v>3.0230000000000001</v>
      </c>
      <c r="H647" s="601">
        <v>2.71</v>
      </c>
      <c r="I647" s="601">
        <v>4.5369999999999999</v>
      </c>
      <c r="J647" s="601">
        <v>3.9870000000000001</v>
      </c>
      <c r="K647" s="601">
        <v>3.94</v>
      </c>
      <c r="L647" s="601">
        <v>3.2029999999999998</v>
      </c>
    </row>
    <row r="648" spans="1:12" hidden="1">
      <c r="A648" s="601" t="s">
        <v>1632</v>
      </c>
      <c r="B648" s="601" t="str">
        <f t="shared" si="10"/>
        <v xml:space="preserve">NIKE </v>
      </c>
      <c r="C648" s="601" t="str">
        <f>MID(Table3[[#This Row],[Statement Code]],FIND("- ",Table3[[#This Row],[Statement Code]])+2,100)</f>
        <v>PER</v>
      </c>
      <c r="D648" s="602" t="s">
        <v>1633</v>
      </c>
      <c r="E648" s="601" t="s">
        <v>1631</v>
      </c>
      <c r="F648" s="601" t="s">
        <v>551</v>
      </c>
      <c r="G648" s="601">
        <v>35.4</v>
      </c>
      <c r="H648" s="601">
        <v>71.900000000000006</v>
      </c>
      <c r="I648" s="601">
        <v>44</v>
      </c>
      <c r="J648" s="601">
        <v>27.7</v>
      </c>
      <c r="K648" s="601">
        <v>29.6</v>
      </c>
      <c r="L648" s="601">
        <v>21.7</v>
      </c>
    </row>
    <row r="649" spans="1:12" hidden="1">
      <c r="A649" s="601" t="s">
        <v>1629</v>
      </c>
      <c r="B649" s="601" t="str">
        <f t="shared" si="10"/>
        <v xml:space="preserve">NIKE </v>
      </c>
      <c r="C649" s="601" t="str">
        <f>MID(Table3[[#This Row],[Statement Code]],FIND("- ",Table3[[#This Row],[Statement Code]])+2,100)</f>
        <v>MARKET VALUE</v>
      </c>
      <c r="D649" s="602" t="s">
        <v>1630</v>
      </c>
      <c r="E649" s="601" t="s">
        <v>1631</v>
      </c>
      <c r="F649" s="601" t="s">
        <v>551</v>
      </c>
      <c r="G649" s="601">
        <v>110264.2</v>
      </c>
      <c r="H649" s="601">
        <v>142736.9</v>
      </c>
      <c r="I649" s="601">
        <v>199918.1</v>
      </c>
      <c r="J649" s="601">
        <v>131571.5</v>
      </c>
      <c r="K649" s="601">
        <v>117006.8</v>
      </c>
      <c r="L649" s="601">
        <v>97198.31</v>
      </c>
    </row>
    <row r="650" spans="1:12" hidden="1">
      <c r="A650" s="601" t="s">
        <v>1652</v>
      </c>
      <c r="B650" s="601" t="str">
        <f t="shared" si="10"/>
        <v xml:space="preserve">NIKE </v>
      </c>
      <c r="C650" s="601" t="str">
        <f>MID(Table3[[#This Row],[Statement Code]],FIND("- ",Table3[[#This Row],[Statement Code]])+2,100)</f>
        <v>EARNINGS PER SHR</v>
      </c>
      <c r="D650" s="602" t="s">
        <v>1653</v>
      </c>
      <c r="E650" s="601" t="s">
        <v>1631</v>
      </c>
      <c r="F650" s="601" t="s">
        <v>551</v>
      </c>
      <c r="G650" s="601">
        <v>2.4900000000000002</v>
      </c>
      <c r="H650" s="601">
        <v>1.59</v>
      </c>
      <c r="I650" s="601">
        <v>3.56</v>
      </c>
      <c r="J650" s="601">
        <v>3.75</v>
      </c>
      <c r="K650" s="601">
        <v>3.23</v>
      </c>
      <c r="L650" s="601">
        <v>3.73</v>
      </c>
    </row>
    <row r="651" spans="1:12" hidden="1">
      <c r="A651" s="601" t="s">
        <v>1636</v>
      </c>
      <c r="B651" s="601" t="str">
        <f t="shared" si="10"/>
        <v xml:space="preserve">NIKE </v>
      </c>
      <c r="C651" s="601" t="e">
        <f>MID(Table3[[#This Row],[Statement Code]],FIND("- ",Table3[[#This Row],[Statement Code]])+2,100)</f>
        <v>#VALUE!</v>
      </c>
      <c r="D651" s="602" t="s">
        <v>1654</v>
      </c>
      <c r="E651" s="601" t="s">
        <v>1631</v>
      </c>
      <c r="F651" s="601" t="s">
        <v>23</v>
      </c>
      <c r="G651" s="601">
        <v>0.92930000000000001</v>
      </c>
      <c r="H651" s="601">
        <v>1.2242</v>
      </c>
      <c r="I651" s="601">
        <v>1.2082999999999999</v>
      </c>
      <c r="J651" s="601">
        <v>1.1896</v>
      </c>
      <c r="K651" s="601">
        <v>1.1999</v>
      </c>
      <c r="L651" s="601">
        <v>1.1276999999999999</v>
      </c>
    </row>
    <row r="652" spans="1:12" hidden="1">
      <c r="A652" s="601" t="s">
        <v>1636</v>
      </c>
      <c r="B652" s="601" t="str">
        <f t="shared" si="10"/>
        <v xml:space="preserve">NIKE </v>
      </c>
      <c r="C652" s="601" t="e">
        <f>MID(Table3[[#This Row],[Statement Code]],FIND("- ",Table3[[#This Row],[Statement Code]])+2,100)</f>
        <v>#VALUE!</v>
      </c>
      <c r="D652" s="602" t="s">
        <v>1655</v>
      </c>
      <c r="E652" s="601" t="s">
        <v>1631</v>
      </c>
      <c r="F652" s="601" t="s">
        <v>23</v>
      </c>
      <c r="G652" s="601">
        <v>0.2026</v>
      </c>
      <c r="H652" s="601">
        <v>0.30330000000000001</v>
      </c>
      <c r="I652" s="601">
        <v>0.30969999999999998</v>
      </c>
      <c r="J652" s="601">
        <v>0.32819999999999999</v>
      </c>
      <c r="K652" s="601">
        <v>0.34699999999999998</v>
      </c>
      <c r="L652" s="601">
        <v>0.37490000000000001</v>
      </c>
    </row>
    <row r="653" spans="1:12" hidden="1">
      <c r="A653" s="601" t="s">
        <v>1656</v>
      </c>
      <c r="B653" s="601" t="str">
        <f t="shared" si="10"/>
        <v xml:space="preserve">NIKE </v>
      </c>
      <c r="C653" s="601" t="str">
        <f>MID(Table3[[#This Row],[Statement Code]],FIND("- ",Table3[[#This Row],[Statement Code]])+2,100)</f>
        <v>ACCOUNTS PAYABLE</v>
      </c>
      <c r="D653" s="602" t="s">
        <v>1657</v>
      </c>
      <c r="E653" s="601" t="s">
        <v>1631</v>
      </c>
      <c r="F653" s="601" t="s">
        <v>551</v>
      </c>
      <c r="G653" s="601">
        <v>2612000</v>
      </c>
      <c r="H653" s="601">
        <v>2248000</v>
      </c>
      <c r="I653" s="601">
        <v>2836000</v>
      </c>
      <c r="J653" s="601">
        <v>3358000</v>
      </c>
      <c r="K653" s="601">
        <v>2862000</v>
      </c>
      <c r="L653" s="601">
        <v>2851000</v>
      </c>
    </row>
    <row r="654" spans="1:12" hidden="1">
      <c r="A654" s="601" t="s">
        <v>1658</v>
      </c>
      <c r="B654" s="601" t="str">
        <f t="shared" si="10"/>
        <v xml:space="preserve">NIKE </v>
      </c>
      <c r="C654" s="601" t="str">
        <f>MID(Table3[[#This Row],[Statement Code]],FIND("- ",Table3[[#This Row],[Statement Code]])+2,100)</f>
        <v>AMORTIZATION OF DEFERRED CHARG</v>
      </c>
      <c r="D654" s="602" t="s">
        <v>1659</v>
      </c>
      <c r="E654" s="601" t="s">
        <v>1631</v>
      </c>
      <c r="F654" s="601" t="s">
        <v>551</v>
      </c>
      <c r="G654" s="601">
        <v>0</v>
      </c>
      <c r="H654" s="601">
        <v>0</v>
      </c>
      <c r="I654" s="601">
        <v>0</v>
      </c>
      <c r="J654" s="601">
        <v>0</v>
      </c>
      <c r="K654" s="601">
        <v>0</v>
      </c>
      <c r="L654" s="601">
        <v>0</v>
      </c>
    </row>
    <row r="655" spans="1:12" hidden="1">
      <c r="A655" s="601" t="s">
        <v>1660</v>
      </c>
      <c r="B655" s="601" t="str">
        <f t="shared" si="10"/>
        <v xml:space="preserve">NIKE </v>
      </c>
      <c r="C655" s="601" t="str">
        <f>MID(Table3[[#This Row],[Statement Code]],FIND("- ",Table3[[#This Row],[Statement Code]])+2,100)</f>
        <v>AMORTIZATION-INTANGIBLE ASSETS</v>
      </c>
      <c r="D655" s="602" t="s">
        <v>1661</v>
      </c>
      <c r="E655" s="601" t="s">
        <v>1631</v>
      </c>
      <c r="F655" s="601" t="s">
        <v>551</v>
      </c>
      <c r="G655" s="601">
        <v>15000</v>
      </c>
      <c r="H655" s="601" t="s">
        <v>23</v>
      </c>
      <c r="I655" s="601">
        <v>53000</v>
      </c>
      <c r="J655" s="601">
        <v>123000</v>
      </c>
      <c r="K655" s="601">
        <v>156000</v>
      </c>
      <c r="L655" s="601">
        <v>48000</v>
      </c>
    </row>
    <row r="656" spans="1:12" hidden="1">
      <c r="A656" s="601" t="s">
        <v>1662</v>
      </c>
      <c r="B656" s="601" t="str">
        <f t="shared" si="10"/>
        <v xml:space="preserve">NIKE </v>
      </c>
      <c r="C656" s="601" t="str">
        <f>MID(Table3[[#This Row],[Statement Code]],FIND("- ",Table3[[#This Row],[Statement Code]])+2,100)</f>
        <v>AMORTIZATION OF INTANGIBLES</v>
      </c>
      <c r="D656" s="602" t="s">
        <v>1663</v>
      </c>
      <c r="E656" s="601" t="s">
        <v>1631</v>
      </c>
      <c r="F656" s="601" t="s">
        <v>551</v>
      </c>
      <c r="G656" s="601">
        <v>15000</v>
      </c>
      <c r="H656" s="601" t="s">
        <v>23</v>
      </c>
      <c r="I656" s="601">
        <v>53000</v>
      </c>
      <c r="J656" s="601">
        <v>123000</v>
      </c>
      <c r="K656" s="601">
        <v>156000</v>
      </c>
      <c r="L656" s="601">
        <v>48000</v>
      </c>
    </row>
    <row r="657" spans="1:12" hidden="1">
      <c r="A657" s="601" t="s">
        <v>1664</v>
      </c>
      <c r="B657" s="601" t="str">
        <f t="shared" si="10"/>
        <v xml:space="preserve">NIKE </v>
      </c>
      <c r="C657" s="601" t="str">
        <f>MID(Table3[[#This Row],[Statement Code]],FIND("- ",Table3[[#This Row],[Statement Code]])+2,100)</f>
        <v>BOOK VALUE-OUT SHARES-FISCAL</v>
      </c>
      <c r="D657" s="602" t="s">
        <v>1665</v>
      </c>
      <c r="E657" s="601" t="s">
        <v>1631</v>
      </c>
      <c r="F657" s="601" t="s">
        <v>551</v>
      </c>
      <c r="G657" s="601">
        <v>5.7649999999999997</v>
      </c>
      <c r="H657" s="601">
        <v>5.17</v>
      </c>
      <c r="I657" s="601">
        <v>8.0909999999999993</v>
      </c>
      <c r="J657" s="601">
        <v>9.7270000000000003</v>
      </c>
      <c r="K657" s="601">
        <v>9.141</v>
      </c>
      <c r="L657" s="601">
        <v>9.6010000000000009</v>
      </c>
    </row>
    <row r="658" spans="1:12" hidden="1">
      <c r="A658" s="601" t="s">
        <v>1666</v>
      </c>
      <c r="B658" s="601" t="str">
        <f t="shared" si="10"/>
        <v xml:space="preserve">NIKE </v>
      </c>
      <c r="C658" s="601" t="str">
        <f>MID(Table3[[#This Row],[Statement Code]],FIND("- ",Table3[[#This Row],[Statement Code]])+2,100)</f>
        <v>BOOK VALUE PER SHARE</v>
      </c>
      <c r="D658" s="602" t="s">
        <v>1667</v>
      </c>
      <c r="E658" s="601" t="s">
        <v>1631</v>
      </c>
      <c r="F658" s="601" t="s">
        <v>551</v>
      </c>
      <c r="G658" s="601">
        <v>5.9980000000000002</v>
      </c>
      <c r="H658" s="601">
        <v>6.7560000000000002</v>
      </c>
      <c r="I658" s="601">
        <v>9.4280000000000008</v>
      </c>
      <c r="J658" s="601">
        <v>9.8529999999999998</v>
      </c>
      <c r="K658" s="601">
        <v>9.3249999999999993</v>
      </c>
      <c r="L658" s="601" t="s">
        <v>23</v>
      </c>
    </row>
    <row r="659" spans="1:12">
      <c r="A659" s="601" t="s">
        <v>1668</v>
      </c>
      <c r="B659" s="601" t="str">
        <f t="shared" si="10"/>
        <v xml:space="preserve">NIKE </v>
      </c>
      <c r="C659" s="601" t="str">
        <f>MID(Table3[[#This Row],[Statement Code]],FIND("- ",Table3[[#This Row],[Statement Code]])+2,100)</f>
        <v>CAPITAL EXPENDITURES</v>
      </c>
      <c r="D659" s="602" t="s">
        <v>1669</v>
      </c>
      <c r="E659" s="601" t="s">
        <v>1631</v>
      </c>
      <c r="F659" s="601" t="s">
        <v>551</v>
      </c>
      <c r="G659" s="601">
        <v>1119000</v>
      </c>
      <c r="H659" s="601">
        <v>1086000</v>
      </c>
      <c r="I659" s="601">
        <v>695000</v>
      </c>
      <c r="J659" s="601">
        <v>758000</v>
      </c>
      <c r="K659" s="601">
        <v>969000</v>
      </c>
      <c r="L659" s="601">
        <v>812000</v>
      </c>
    </row>
    <row r="660" spans="1:12" hidden="1">
      <c r="A660" s="601" t="s">
        <v>1670</v>
      </c>
      <c r="B660" s="601" t="str">
        <f t="shared" si="10"/>
        <v xml:space="preserve">NIKE </v>
      </c>
      <c r="C660" s="601" t="str">
        <f>MID(Table3[[#This Row],[Statement Code]],FIND("- ",Table3[[#This Row],[Statement Code]])+2,100)</f>
        <v>CASH</v>
      </c>
      <c r="D660" s="602" t="s">
        <v>1671</v>
      </c>
      <c r="E660" s="601" t="s">
        <v>1631</v>
      </c>
      <c r="F660" s="601" t="s">
        <v>551</v>
      </c>
      <c r="G660" s="601">
        <v>4466000</v>
      </c>
      <c r="H660" s="601">
        <v>8348000</v>
      </c>
      <c r="I660" s="601">
        <v>9889000</v>
      </c>
      <c r="J660" s="601">
        <v>8574000</v>
      </c>
      <c r="K660" s="601">
        <v>7441000</v>
      </c>
      <c r="L660" s="601">
        <v>9860000</v>
      </c>
    </row>
    <row r="661" spans="1:12" hidden="1">
      <c r="A661" s="601" t="s">
        <v>1672</v>
      </c>
      <c r="B661" s="601" t="str">
        <f t="shared" si="10"/>
        <v xml:space="preserve">NIKE </v>
      </c>
      <c r="C661" s="601" t="str">
        <f>MID(Table3[[#This Row],[Statement Code]],FIND("- ",Table3[[#This Row],[Statement Code]])+2,100)</f>
        <v>CASH - GENERIC</v>
      </c>
      <c r="D661" s="602" t="s">
        <v>1673</v>
      </c>
      <c r="E661" s="601" t="s">
        <v>1631</v>
      </c>
      <c r="F661" s="601" t="s">
        <v>551</v>
      </c>
      <c r="G661" s="601">
        <v>5279000</v>
      </c>
      <c r="H661" s="601">
        <v>8787000</v>
      </c>
      <c r="I661" s="601">
        <v>13476000</v>
      </c>
      <c r="J661" s="601">
        <v>12997000</v>
      </c>
      <c r="K661" s="601">
        <v>10675000</v>
      </c>
      <c r="L661" s="601">
        <v>11582000</v>
      </c>
    </row>
    <row r="662" spans="1:12">
      <c r="A662" s="601" t="s">
        <v>1674</v>
      </c>
      <c r="B662" s="601" t="str">
        <f t="shared" si="10"/>
        <v xml:space="preserve">NIKE </v>
      </c>
      <c r="C662" s="601" t="str">
        <f>MID(Table3[[#This Row],[Statement Code]],FIND("- ",Table3[[#This Row],[Statement Code]])+2,100)</f>
        <v>CASH &amp; SHORT TERM INVESTMENTS</v>
      </c>
      <c r="D662" s="602" t="s">
        <v>1675</v>
      </c>
      <c r="E662" s="601" t="s">
        <v>1631</v>
      </c>
      <c r="F662" s="601" t="s">
        <v>551</v>
      </c>
      <c r="G662" s="601">
        <v>5279000</v>
      </c>
      <c r="H662" s="601">
        <v>8787000</v>
      </c>
      <c r="I662" s="601">
        <v>13476000</v>
      </c>
      <c r="J662" s="601">
        <v>12997000</v>
      </c>
      <c r="K662" s="601">
        <v>10675000</v>
      </c>
      <c r="L662" s="601">
        <v>11582000</v>
      </c>
    </row>
    <row r="663" spans="1:12" hidden="1">
      <c r="A663" s="601" t="s">
        <v>1676</v>
      </c>
      <c r="B663" s="601" t="str">
        <f t="shared" si="10"/>
        <v xml:space="preserve">NIKE </v>
      </c>
      <c r="C663" s="601" t="str">
        <f>MID(Table3[[#This Row],[Statement Code]],FIND("- ",Table3[[#This Row],[Statement Code]])+2,100)</f>
        <v>CASH DIVIDENDS PAID - TOTAL</v>
      </c>
      <c r="D663" s="602" t="s">
        <v>1677</v>
      </c>
      <c r="E663" s="601" t="s">
        <v>1631</v>
      </c>
      <c r="F663" s="601" t="s">
        <v>551</v>
      </c>
      <c r="G663" s="601">
        <v>1332000</v>
      </c>
      <c r="H663" s="601">
        <v>1452000</v>
      </c>
      <c r="I663" s="601">
        <v>1638000</v>
      </c>
      <c r="J663" s="601">
        <v>1837000</v>
      </c>
      <c r="K663" s="601">
        <v>2012000</v>
      </c>
      <c r="L663" s="601">
        <v>2169000</v>
      </c>
    </row>
    <row r="664" spans="1:12" hidden="1">
      <c r="A664" s="601" t="s">
        <v>1678</v>
      </c>
      <c r="B664" s="601" t="str">
        <f t="shared" si="10"/>
        <v xml:space="preserve">NIKE </v>
      </c>
      <c r="C664" s="601" t="str">
        <f>MID(Table3[[#This Row],[Statement Code]],FIND("- ",Table3[[#This Row],[Statement Code]])+2,100)</f>
        <v>CASH FLOW PER SHARE</v>
      </c>
      <c r="D664" s="602" t="s">
        <v>1679</v>
      </c>
      <c r="E664" s="601" t="s">
        <v>1631</v>
      </c>
      <c r="F664" s="601" t="s">
        <v>551</v>
      </c>
      <c r="G664" s="601">
        <v>3.6669999999999998</v>
      </c>
      <c r="H664" s="601">
        <v>2.3940000000000001</v>
      </c>
      <c r="I664" s="601">
        <v>4.3609999999999998</v>
      </c>
      <c r="J664" s="601">
        <v>4.2270000000000003</v>
      </c>
      <c r="K664" s="601">
        <v>4.1429999999999998</v>
      </c>
      <c r="L664" s="601" t="s">
        <v>23</v>
      </c>
    </row>
    <row r="665" spans="1:12" hidden="1">
      <c r="A665" s="601" t="s">
        <v>1680</v>
      </c>
      <c r="B665" s="601" t="str">
        <f t="shared" si="10"/>
        <v xml:space="preserve">NIKE </v>
      </c>
      <c r="C665" s="601" t="str">
        <f>MID(Table3[[#This Row],[Statement Code]],FIND("- ",Table3[[#This Row],[Statement Code]])+2,100)</f>
        <v>CASH FLOW PER SHARE - FIS YR</v>
      </c>
      <c r="D665" s="602" t="s">
        <v>1681</v>
      </c>
      <c r="E665" s="601" t="s">
        <v>1631</v>
      </c>
      <c r="F665" s="601" t="s">
        <v>551</v>
      </c>
      <c r="G665" s="601">
        <v>3.3</v>
      </c>
      <c r="H665" s="601">
        <v>2.3439999999999999</v>
      </c>
      <c r="I665" s="601">
        <v>4.1079999999999997</v>
      </c>
      <c r="J665" s="601">
        <v>4.2510000000000003</v>
      </c>
      <c r="K665" s="601">
        <v>4.048</v>
      </c>
      <c r="L665" s="601">
        <v>4.3879999999999999</v>
      </c>
    </row>
    <row r="666" spans="1:12" hidden="1">
      <c r="A666" s="601" t="s">
        <v>1682</v>
      </c>
      <c r="B666" s="601" t="str">
        <f t="shared" si="10"/>
        <v xml:space="preserve">NIKE </v>
      </c>
      <c r="C666" s="601" t="str">
        <f>MID(Table3[[#This Row],[Statement Code]],FIND("- ",Table3[[#This Row],[Statement Code]])+2,100)</f>
        <v>COMMON DIVIDENDS (CASH)</v>
      </c>
      <c r="D666" s="602" t="s">
        <v>1683</v>
      </c>
      <c r="E666" s="601" t="s">
        <v>1631</v>
      </c>
      <c r="F666" s="601" t="s">
        <v>551</v>
      </c>
      <c r="G666" s="601">
        <v>1332000</v>
      </c>
      <c r="H666" s="601">
        <v>1452000</v>
      </c>
      <c r="I666" s="601">
        <v>1638000</v>
      </c>
      <c r="J666" s="601">
        <v>1837000</v>
      </c>
      <c r="K666" s="601">
        <v>2012000</v>
      </c>
      <c r="L666" s="601">
        <v>2169000</v>
      </c>
    </row>
    <row r="667" spans="1:12" hidden="1">
      <c r="A667" s="601" t="s">
        <v>1684</v>
      </c>
      <c r="B667" s="601" t="str">
        <f t="shared" si="10"/>
        <v xml:space="preserve">NIKE </v>
      </c>
      <c r="C667" s="601" t="str">
        <f>MID(Table3[[#This Row],[Statement Code]],FIND("- ",Table3[[#This Row],[Statement Code]])+2,100)</f>
        <v>COMMON SHAREHOLDERS' EQUITY</v>
      </c>
      <c r="D667" s="602" t="s">
        <v>1685</v>
      </c>
      <c r="E667" s="601" t="s">
        <v>1631</v>
      </c>
      <c r="F667" s="601" t="s">
        <v>551</v>
      </c>
      <c r="G667" s="601">
        <v>9040000</v>
      </c>
      <c r="H667" s="601">
        <v>8055000</v>
      </c>
      <c r="I667" s="601">
        <v>12767000</v>
      </c>
      <c r="J667" s="601">
        <v>15281000</v>
      </c>
      <c r="K667" s="601">
        <v>14004000</v>
      </c>
      <c r="L667" s="601">
        <v>14430000</v>
      </c>
    </row>
    <row r="668" spans="1:12">
      <c r="A668" s="601" t="s">
        <v>1686</v>
      </c>
      <c r="B668" s="601" t="str">
        <f t="shared" si="10"/>
        <v xml:space="preserve">NIKE </v>
      </c>
      <c r="C668" s="601" t="str">
        <f>MID(Table3[[#This Row],[Statement Code]],FIND("- ",Table3[[#This Row],[Statement Code]])+2,100)</f>
        <v>COMMON STOCK</v>
      </c>
      <c r="D668" s="602" t="s">
        <v>1687</v>
      </c>
      <c r="E668" s="601" t="s">
        <v>1631</v>
      </c>
      <c r="F668" s="601" t="s">
        <v>551</v>
      </c>
      <c r="G668" s="601">
        <v>3000</v>
      </c>
      <c r="H668" s="601">
        <v>3000</v>
      </c>
      <c r="I668" s="601">
        <v>3000</v>
      </c>
      <c r="J668" s="601">
        <v>3000</v>
      </c>
      <c r="K668" s="601">
        <v>3000</v>
      </c>
      <c r="L668" s="601">
        <v>3000</v>
      </c>
    </row>
    <row r="669" spans="1:12" hidden="1">
      <c r="A669" s="601" t="s">
        <v>1688</v>
      </c>
      <c r="B669" s="601" t="str">
        <f t="shared" si="10"/>
        <v xml:space="preserve">NIKE </v>
      </c>
      <c r="C669" s="601" t="str">
        <f>MID(Table3[[#This Row],[Statement Code]],FIND("- ",Table3[[#This Row],[Statement Code]])+2,100)</f>
        <v>COST OF GOODS SOLD (EXCL DEP)</v>
      </c>
      <c r="D669" s="602" t="s">
        <v>1689</v>
      </c>
      <c r="E669" s="601" t="s">
        <v>1631</v>
      </c>
      <c r="F669" s="601" t="s">
        <v>551</v>
      </c>
      <c r="G669" s="601">
        <v>20923000</v>
      </c>
      <c r="H669" s="601">
        <v>20441000</v>
      </c>
      <c r="I669" s="601">
        <v>23744000</v>
      </c>
      <c r="J669" s="601">
        <v>24391000</v>
      </c>
      <c r="K669" s="601">
        <v>28066000</v>
      </c>
      <c r="L669" s="601">
        <v>27631000</v>
      </c>
    </row>
    <row r="670" spans="1:12">
      <c r="A670" s="601" t="s">
        <v>1690</v>
      </c>
      <c r="B670" s="601" t="str">
        <f t="shared" si="10"/>
        <v xml:space="preserve">NIKE </v>
      </c>
      <c r="C670" s="601" t="str">
        <f>MID(Table3[[#This Row],[Statement Code]],FIND("- ",Table3[[#This Row],[Statement Code]])+2,100)</f>
        <v>CURRENT ASSETS - TOTAL</v>
      </c>
      <c r="D670" s="602" t="s">
        <v>1691</v>
      </c>
      <c r="E670" s="601" t="s">
        <v>1631</v>
      </c>
      <c r="F670" s="601" t="s">
        <v>551</v>
      </c>
      <c r="G670" s="601">
        <v>16525000</v>
      </c>
      <c r="H670" s="601">
        <v>20556000</v>
      </c>
      <c r="I670" s="601">
        <v>26291000</v>
      </c>
      <c r="J670" s="601">
        <v>28213000</v>
      </c>
      <c r="K670" s="601">
        <v>25202000</v>
      </c>
      <c r="L670" s="601">
        <v>25382000</v>
      </c>
    </row>
    <row r="671" spans="1:12">
      <c r="A671" s="601" t="s">
        <v>1692</v>
      </c>
      <c r="B671" s="601" t="str">
        <f t="shared" si="10"/>
        <v xml:space="preserve">NIKE </v>
      </c>
      <c r="C671" s="601" t="str">
        <f>MID(Table3[[#This Row],[Statement Code]],FIND("- ",Table3[[#This Row],[Statement Code]])+2,100)</f>
        <v>CURRENT LIABILITIES-TOTAL</v>
      </c>
      <c r="D671" s="602" t="s">
        <v>1693</v>
      </c>
      <c r="E671" s="601" t="s">
        <v>1631</v>
      </c>
      <c r="F671" s="601" t="s">
        <v>551</v>
      </c>
      <c r="G671" s="601">
        <v>7866000</v>
      </c>
      <c r="H671" s="601">
        <v>8284000</v>
      </c>
      <c r="I671" s="601">
        <v>9674000</v>
      </c>
      <c r="J671" s="601">
        <v>10730000</v>
      </c>
      <c r="K671" s="601">
        <v>9256000</v>
      </c>
      <c r="L671" s="601">
        <v>10593000</v>
      </c>
    </row>
    <row r="672" spans="1:12" hidden="1">
      <c r="A672" s="601" t="s">
        <v>1694</v>
      </c>
      <c r="B672" s="601" t="str">
        <f t="shared" si="10"/>
        <v xml:space="preserve">NIKE </v>
      </c>
      <c r="C672" s="601" t="str">
        <f>MID(Table3[[#This Row],[Statement Code]],FIND("- ",Table3[[#This Row],[Statement Code]])+2,100)</f>
        <v>DEFERRED TAXES</v>
      </c>
      <c r="D672" s="602" t="s">
        <v>1695</v>
      </c>
      <c r="E672" s="601" t="s">
        <v>1631</v>
      </c>
      <c r="F672" s="601" t="s">
        <v>551</v>
      </c>
      <c r="G672" s="601">
        <v>1340000</v>
      </c>
      <c r="H672" s="601">
        <v>358000</v>
      </c>
      <c r="I672" s="601">
        <v>34000</v>
      </c>
      <c r="J672" s="601">
        <v>-1208000</v>
      </c>
      <c r="K672" s="601">
        <v>-1212000</v>
      </c>
      <c r="L672" s="601">
        <v>-1893000</v>
      </c>
    </row>
    <row r="673" spans="1:12" hidden="1">
      <c r="A673" s="601" t="s">
        <v>1696</v>
      </c>
      <c r="B673" s="601" t="str">
        <f t="shared" si="10"/>
        <v xml:space="preserve">NIKE </v>
      </c>
      <c r="C673" s="601" t="str">
        <f>MID(Table3[[#This Row],[Statement Code]],FIND("- ",Table3[[#This Row],[Statement Code]])+2,100)</f>
        <v>DEPRECIATION AND DEPLETION</v>
      </c>
      <c r="D673" s="602" t="s">
        <v>1697</v>
      </c>
      <c r="E673" s="601" t="s">
        <v>1631</v>
      </c>
      <c r="F673" s="601" t="s">
        <v>551</v>
      </c>
      <c r="G673" s="601">
        <v>705000</v>
      </c>
      <c r="H673" s="601">
        <v>721000</v>
      </c>
      <c r="I673" s="601">
        <v>744000</v>
      </c>
      <c r="J673" s="601">
        <v>717000</v>
      </c>
      <c r="K673" s="601">
        <v>703000</v>
      </c>
      <c r="L673" s="601">
        <v>796000</v>
      </c>
    </row>
    <row r="674" spans="1:12">
      <c r="A674" s="601" t="s">
        <v>1698</v>
      </c>
      <c r="B674" s="601" t="str">
        <f t="shared" si="10"/>
        <v xml:space="preserve">NIKE </v>
      </c>
      <c r="C674" s="601" t="str">
        <f>MID(Table3[[#This Row],[Statement Code]],FIND("- ",Table3[[#This Row],[Statement Code]])+2,100)</f>
        <v>DEPRECIATION/DEPLETION/AMORT</v>
      </c>
      <c r="D674" s="602" t="s">
        <v>1699</v>
      </c>
      <c r="E674" s="601" t="s">
        <v>1631</v>
      </c>
      <c r="F674" s="601" t="s">
        <v>551</v>
      </c>
      <c r="G674" s="601">
        <v>720000</v>
      </c>
      <c r="H674" s="601">
        <v>721000</v>
      </c>
      <c r="I674" s="601">
        <v>797000</v>
      </c>
      <c r="J674" s="601">
        <v>840000</v>
      </c>
      <c r="K674" s="601">
        <v>859000</v>
      </c>
      <c r="L674" s="601">
        <v>844000</v>
      </c>
    </row>
    <row r="675" spans="1:12" hidden="1">
      <c r="A675" s="601" t="s">
        <v>1700</v>
      </c>
      <c r="B675" s="601" t="str">
        <f t="shared" si="10"/>
        <v xml:space="preserve">NIKE </v>
      </c>
      <c r="C675" s="601" t="str">
        <f>MID(Table3[[#This Row],[Statement Code]],FIND("- ",Table3[[#This Row],[Statement Code]])+2,100)</f>
        <v>DIVIDENDS PER SHARE</v>
      </c>
      <c r="D675" s="602" t="s">
        <v>1701</v>
      </c>
      <c r="E675" s="601" t="s">
        <v>1631</v>
      </c>
      <c r="F675" s="601" t="s">
        <v>551</v>
      </c>
      <c r="G675" s="601">
        <v>0.90500000000000003</v>
      </c>
      <c r="H675" s="601">
        <v>1.01</v>
      </c>
      <c r="I675" s="601">
        <v>1.1299999999999999</v>
      </c>
      <c r="J675" s="601">
        <v>1.2549999999999999</v>
      </c>
      <c r="K675" s="601">
        <v>1.39</v>
      </c>
      <c r="L675" s="601" t="s">
        <v>23</v>
      </c>
    </row>
    <row r="676" spans="1:12" hidden="1">
      <c r="A676" s="601" t="s">
        <v>1702</v>
      </c>
      <c r="B676" s="601" t="str">
        <f t="shared" si="10"/>
        <v xml:space="preserve">NIKE </v>
      </c>
      <c r="C676" s="601" t="str">
        <f>MID(Table3[[#This Row],[Statement Code]],FIND("- ",Table3[[#This Row],[Statement Code]])+2,100)</f>
        <v>DIVIDENDS PER SHARE - FISCAL</v>
      </c>
      <c r="D676" s="602" t="s">
        <v>1703</v>
      </c>
      <c r="E676" s="601" t="s">
        <v>1631</v>
      </c>
      <c r="F676" s="601" t="s">
        <v>551</v>
      </c>
      <c r="G676" s="601">
        <v>0.86</v>
      </c>
      <c r="H676" s="601">
        <v>0.95499999999999996</v>
      </c>
      <c r="I676" s="601">
        <v>1.07</v>
      </c>
      <c r="J676" s="601">
        <v>1.19</v>
      </c>
      <c r="K676" s="601">
        <v>1.325</v>
      </c>
      <c r="L676" s="601">
        <v>1.45</v>
      </c>
    </row>
    <row r="677" spans="1:12">
      <c r="A677" s="601" t="s">
        <v>1704</v>
      </c>
      <c r="B677" s="601" t="str">
        <f t="shared" si="10"/>
        <v xml:space="preserve">NIKE </v>
      </c>
      <c r="C677" s="601" t="str">
        <f>MID(Table3[[#This Row],[Statement Code]],FIND("- ",Table3[[#This Row],[Statement Code]])+2,100)</f>
        <v>EARNINGS BEF INTEREST &amp; TAXES</v>
      </c>
      <c r="D677" s="602" t="s">
        <v>1705</v>
      </c>
      <c r="E677" s="601" t="s">
        <v>1631</v>
      </c>
      <c r="F677" s="601" t="s">
        <v>551</v>
      </c>
      <c r="G677" s="601">
        <v>4932000</v>
      </c>
      <c r="H677" s="601">
        <v>3038000</v>
      </c>
      <c r="I677" s="601">
        <v>6957000</v>
      </c>
      <c r="J677" s="601">
        <v>6950000</v>
      </c>
      <c r="K677" s="601">
        <v>6492000</v>
      </c>
      <c r="L677" s="601">
        <v>6969000</v>
      </c>
    </row>
    <row r="678" spans="1:12" hidden="1">
      <c r="A678" s="601" t="s">
        <v>1706</v>
      </c>
      <c r="B678" s="601" t="str">
        <f t="shared" si="10"/>
        <v xml:space="preserve">NIKE </v>
      </c>
      <c r="C678" s="601" t="str">
        <f>MID(Table3[[#This Row],[Statement Code]],FIND("- ",Table3[[#This Row],[Statement Code]])+2,100)</f>
        <v>EBIT &amp; DEPRECIATION</v>
      </c>
      <c r="D678" s="602" t="s">
        <v>1707</v>
      </c>
      <c r="E678" s="601" t="s">
        <v>1631</v>
      </c>
      <c r="F678" s="601" t="s">
        <v>551</v>
      </c>
      <c r="G678" s="601">
        <v>5652000</v>
      </c>
      <c r="H678" s="601">
        <v>3759000</v>
      </c>
      <c r="I678" s="601">
        <v>7754000</v>
      </c>
      <c r="J678" s="601">
        <v>7790000</v>
      </c>
      <c r="K678" s="601">
        <v>7351000</v>
      </c>
      <c r="L678" s="601">
        <v>7813000</v>
      </c>
    </row>
    <row r="679" spans="1:12" hidden="1">
      <c r="A679" s="601" t="s">
        <v>1708</v>
      </c>
      <c r="B679" s="601" t="str">
        <f t="shared" si="10"/>
        <v xml:space="preserve">NIKE </v>
      </c>
      <c r="C679" s="601" t="str">
        <f>MID(Table3[[#This Row],[Statement Code]],FIND("- ",Table3[[#This Row],[Statement Code]])+2,100)</f>
        <v>EARNINGS PER SHARE</v>
      </c>
      <c r="D679" s="602" t="s">
        <v>1709</v>
      </c>
      <c r="E679" s="601" t="s">
        <v>1631</v>
      </c>
      <c r="F679" s="601" t="s">
        <v>551</v>
      </c>
      <c r="G679" s="601">
        <v>2.87</v>
      </c>
      <c r="H679" s="601">
        <v>1.7529999999999999</v>
      </c>
      <c r="I679" s="601">
        <v>3.8149999999999999</v>
      </c>
      <c r="J679" s="601">
        <v>3.5430000000000001</v>
      </c>
      <c r="K679" s="601">
        <v>3.4249999999999998</v>
      </c>
      <c r="L679" s="601" t="s">
        <v>23</v>
      </c>
    </row>
    <row r="680" spans="1:12" hidden="1">
      <c r="A680" s="601" t="s">
        <v>1710</v>
      </c>
      <c r="B680" s="601" t="str">
        <f t="shared" si="10"/>
        <v xml:space="preserve">NIKE </v>
      </c>
      <c r="C680" s="601" t="str">
        <f>MID(Table3[[#This Row],[Statement Code]],FIND("- ",Table3[[#This Row],[Statement Code]])+2,100)</f>
        <v>FISCAL EPS-FULLY DILUTED-YR</v>
      </c>
      <c r="D680" s="602" t="s">
        <v>1711</v>
      </c>
      <c r="E680" s="601" t="s">
        <v>1631</v>
      </c>
      <c r="F680" s="601" t="s">
        <v>551</v>
      </c>
      <c r="G680" s="601">
        <v>2.4889999999999999</v>
      </c>
      <c r="H680" s="601">
        <v>1.595</v>
      </c>
      <c r="I680" s="601">
        <v>3.5579999999999998</v>
      </c>
      <c r="J680" s="601">
        <v>3.7530000000000001</v>
      </c>
      <c r="K680" s="601">
        <v>3.23</v>
      </c>
      <c r="L680" s="601">
        <v>3.726</v>
      </c>
    </row>
    <row r="681" spans="1:12" hidden="1">
      <c r="A681" s="601" t="s">
        <v>1712</v>
      </c>
      <c r="B681" s="601" t="str">
        <f t="shared" si="10"/>
        <v xml:space="preserve">NIKE </v>
      </c>
      <c r="C681" s="601" t="str">
        <f>MID(Table3[[#This Row],[Statement Code]],FIND("- ",Table3[[#This Row],[Statement Code]])+2,100)</f>
        <v>ENTERPRISE VALUE</v>
      </c>
      <c r="D681" s="602" t="s">
        <v>1713</v>
      </c>
      <c r="E681" s="601" t="s">
        <v>1631</v>
      </c>
      <c r="F681" s="601" t="s">
        <v>551</v>
      </c>
      <c r="G681" s="601">
        <v>119529520</v>
      </c>
      <c r="H681" s="601">
        <v>154457640</v>
      </c>
      <c r="I681" s="601">
        <v>211272880</v>
      </c>
      <c r="J681" s="601">
        <v>183146350</v>
      </c>
      <c r="K681" s="601">
        <v>159516320</v>
      </c>
      <c r="L681" s="601">
        <v>140187150</v>
      </c>
    </row>
    <row r="682" spans="1:12">
      <c r="A682" s="601" t="s">
        <v>1714</v>
      </c>
      <c r="B682" s="601" t="str">
        <f t="shared" si="10"/>
        <v xml:space="preserve">NIKE </v>
      </c>
      <c r="C682" s="601" t="str">
        <f>MID(Table3[[#This Row],[Statement Code]],FIND("- ",Table3[[#This Row],[Statement Code]])+2,100)</f>
        <v>GROSS INCOME</v>
      </c>
      <c r="D682" s="602" t="s">
        <v>1715</v>
      </c>
      <c r="E682" s="601" t="s">
        <v>1631</v>
      </c>
      <c r="F682" s="601" t="s">
        <v>551</v>
      </c>
      <c r="G682" s="601">
        <v>17474000</v>
      </c>
      <c r="H682" s="601">
        <v>16241000</v>
      </c>
      <c r="I682" s="601">
        <v>19997000</v>
      </c>
      <c r="J682" s="601">
        <v>21479000</v>
      </c>
      <c r="K682" s="601">
        <v>22292000</v>
      </c>
      <c r="L682" s="601">
        <v>22887000</v>
      </c>
    </row>
    <row r="683" spans="1:12">
      <c r="A683" s="601" t="s">
        <v>1716</v>
      </c>
      <c r="B683" s="601" t="str">
        <f t="shared" si="10"/>
        <v xml:space="preserve">NIKE </v>
      </c>
      <c r="C683" s="601" t="str">
        <f>MID(Table3[[#This Row],[Statement Code]],FIND("- ",Table3[[#This Row],[Statement Code]])+2,100)</f>
        <v>INCOME TAXES</v>
      </c>
      <c r="D683" s="602" t="s">
        <v>1717</v>
      </c>
      <c r="E683" s="601" t="s">
        <v>1631</v>
      </c>
      <c r="F683" s="601" t="s">
        <v>551</v>
      </c>
      <c r="G683" s="601">
        <v>772000</v>
      </c>
      <c r="H683" s="601">
        <v>348000</v>
      </c>
      <c r="I683" s="601">
        <v>934000</v>
      </c>
      <c r="J683" s="601">
        <v>605000</v>
      </c>
      <c r="K683" s="601">
        <v>1131000</v>
      </c>
      <c r="L683" s="601">
        <v>1000000</v>
      </c>
    </row>
    <row r="684" spans="1:12" hidden="1">
      <c r="A684" s="601" t="s">
        <v>1718</v>
      </c>
      <c r="B684" s="601" t="str">
        <f t="shared" si="10"/>
        <v xml:space="preserve">NIKE </v>
      </c>
      <c r="C684" s="601" t="str">
        <f>MID(Table3[[#This Row],[Statement Code]],FIND("- ",Table3[[#This Row],[Statement Code]])+2,100)</f>
        <v>INCREASE/DECREASE IN CASH/SHOR</v>
      </c>
      <c r="D684" s="602" t="s">
        <v>1719</v>
      </c>
      <c r="E684" s="601" t="s">
        <v>1631</v>
      </c>
      <c r="F684" s="601" t="s">
        <v>551</v>
      </c>
      <c r="G684" s="601">
        <v>217000</v>
      </c>
      <c r="H684" s="601">
        <v>3882000</v>
      </c>
      <c r="I684" s="601">
        <v>1541000</v>
      </c>
      <c r="J684" s="601">
        <v>-1315000</v>
      </c>
      <c r="K684" s="601">
        <v>-1133000</v>
      </c>
      <c r="L684" s="601">
        <v>2419000</v>
      </c>
    </row>
    <row r="685" spans="1:12">
      <c r="A685" s="601" t="s">
        <v>1720</v>
      </c>
      <c r="B685" s="601" t="str">
        <f t="shared" si="10"/>
        <v xml:space="preserve">NIKE </v>
      </c>
      <c r="C685" s="601" t="str">
        <f>MID(Table3[[#This Row],[Statement Code]],FIND("- ",Table3[[#This Row],[Statement Code]])+2,100)</f>
        <v>INTEREST EXPENSE ON DEBT</v>
      </c>
      <c r="D685" s="602" t="s">
        <v>1721</v>
      </c>
      <c r="E685" s="601" t="s">
        <v>1631</v>
      </c>
      <c r="F685" s="601" t="s">
        <v>551</v>
      </c>
      <c r="G685" s="601">
        <v>131000</v>
      </c>
      <c r="H685" s="601">
        <v>151000</v>
      </c>
      <c r="I685" s="601">
        <v>296000</v>
      </c>
      <c r="J685" s="601">
        <v>299000</v>
      </c>
      <c r="K685" s="601">
        <v>291000</v>
      </c>
      <c r="L685" s="601">
        <v>269000</v>
      </c>
    </row>
    <row r="686" spans="1:12" hidden="1">
      <c r="A686" s="601" t="s">
        <v>1722</v>
      </c>
      <c r="B686" s="601" t="str">
        <f t="shared" si="10"/>
        <v xml:space="preserve">NIKE </v>
      </c>
      <c r="C686" s="601" t="str">
        <f>MID(Table3[[#This Row],[Statement Code]],FIND("- ",Table3[[#This Row],[Statement Code]])+2,100)</f>
        <v>TOTAL INVENTORIES</v>
      </c>
      <c r="D686" s="602" t="s">
        <v>1723</v>
      </c>
      <c r="E686" s="601" t="s">
        <v>1631</v>
      </c>
      <c r="F686" s="601" t="s">
        <v>551</v>
      </c>
      <c r="G686" s="601">
        <v>5622000</v>
      </c>
      <c r="H686" s="601">
        <v>7367000</v>
      </c>
      <c r="I686" s="601">
        <v>6854000</v>
      </c>
      <c r="J686" s="601">
        <v>8420000</v>
      </c>
      <c r="K686" s="601">
        <v>8454000</v>
      </c>
      <c r="L686" s="601">
        <v>7519000</v>
      </c>
    </row>
    <row r="687" spans="1:12">
      <c r="A687" s="601" t="s">
        <v>1724</v>
      </c>
      <c r="B687" s="601" t="str">
        <f t="shared" si="10"/>
        <v xml:space="preserve">NIKE </v>
      </c>
      <c r="C687" s="601" t="str">
        <f>MID(Table3[[#This Row],[Statement Code]],FIND("- ",Table3[[#This Row],[Statement Code]])+2,100)</f>
        <v>LONG TERM DEBT</v>
      </c>
      <c r="D687" s="602" t="s">
        <v>1725</v>
      </c>
      <c r="E687" s="601" t="s">
        <v>1631</v>
      </c>
      <c r="F687" s="601" t="s">
        <v>551</v>
      </c>
      <c r="G687" s="601">
        <v>3806000</v>
      </c>
      <c r="H687" s="601">
        <v>9406000</v>
      </c>
      <c r="I687" s="601">
        <v>9413000</v>
      </c>
      <c r="J687" s="601">
        <v>8920000</v>
      </c>
      <c r="K687" s="601">
        <v>8927000</v>
      </c>
      <c r="L687" s="601">
        <v>7903000</v>
      </c>
    </row>
    <row r="688" spans="1:12" hidden="1">
      <c r="A688" s="601" t="s">
        <v>1726</v>
      </c>
      <c r="B688" s="601" t="str">
        <f t="shared" si="10"/>
        <v xml:space="preserve">NIKE </v>
      </c>
      <c r="C688" s="601" t="str">
        <f>MID(Table3[[#This Row],[Statement Code]],FIND("- ",Table3[[#This Row],[Statement Code]])+2,100)</f>
        <v>MARKET CAPITALIZATION</v>
      </c>
      <c r="D688" s="602" t="s">
        <v>1727</v>
      </c>
      <c r="E688" s="601" t="s">
        <v>1631</v>
      </c>
      <c r="F688" s="601" t="s">
        <v>551</v>
      </c>
      <c r="G688" s="601">
        <v>158854080</v>
      </c>
      <c r="H688" s="601">
        <v>220410260</v>
      </c>
      <c r="I688" s="601">
        <v>263005260</v>
      </c>
      <c r="J688" s="601">
        <v>183822710</v>
      </c>
      <c r="K688" s="601">
        <v>166329240</v>
      </c>
      <c r="L688" s="601" t="s">
        <v>23</v>
      </c>
    </row>
    <row r="689" spans="1:12" hidden="1">
      <c r="A689" s="601" t="s">
        <v>1728</v>
      </c>
      <c r="B689" s="601" t="str">
        <f t="shared" si="10"/>
        <v xml:space="preserve">NIKE </v>
      </c>
      <c r="C689" s="601" t="str">
        <f>MID(Table3[[#This Row],[Statement Code]],FIND("- ",Table3[[#This Row],[Statement Code]])+2,100)</f>
        <v>NET CASH FLOW - FINANCING</v>
      </c>
      <c r="D689" s="602" t="s">
        <v>1729</v>
      </c>
      <c r="E689" s="601" t="s">
        <v>1631</v>
      </c>
      <c r="F689" s="601" t="s">
        <v>551</v>
      </c>
      <c r="G689" s="601">
        <v>-5293000</v>
      </c>
      <c r="H689" s="601">
        <v>2491000</v>
      </c>
      <c r="I689" s="601">
        <v>-1459000</v>
      </c>
      <c r="J689" s="601">
        <v>-4836000</v>
      </c>
      <c r="K689" s="601">
        <v>-7447000</v>
      </c>
      <c r="L689" s="601">
        <v>-5888000</v>
      </c>
    </row>
    <row r="690" spans="1:12" hidden="1">
      <c r="A690" s="601" t="s">
        <v>1730</v>
      </c>
      <c r="B690" s="601" t="str">
        <f t="shared" si="10"/>
        <v xml:space="preserve">NIKE </v>
      </c>
      <c r="C690" s="601" t="str">
        <f>MID(Table3[[#This Row],[Statement Code]],FIND("- ",Table3[[#This Row],[Statement Code]])+2,100)</f>
        <v>NET CASH FLOW - INVESTING</v>
      </c>
      <c r="D690" s="602" t="s">
        <v>1731</v>
      </c>
      <c r="E690" s="601" t="s">
        <v>1631</v>
      </c>
      <c r="F690" s="601" t="s">
        <v>551</v>
      </c>
      <c r="G690" s="601">
        <v>264000</v>
      </c>
      <c r="H690" s="601">
        <v>1028000</v>
      </c>
      <c r="I690" s="601">
        <v>3800000</v>
      </c>
      <c r="J690" s="601">
        <v>1524000</v>
      </c>
      <c r="K690" s="601">
        <v>-564000</v>
      </c>
      <c r="L690" s="601">
        <v>-894000</v>
      </c>
    </row>
    <row r="691" spans="1:12" hidden="1">
      <c r="A691" s="601" t="s">
        <v>1732</v>
      </c>
      <c r="B691" s="601" t="str">
        <f t="shared" si="10"/>
        <v xml:space="preserve">NIKE </v>
      </c>
      <c r="C691" s="601" t="str">
        <f>MID(Table3[[#This Row],[Statement Code]],FIND("- ",Table3[[#This Row],[Statement Code]])+2,100)</f>
        <v>NET CASH FLOW-OPERATING ACTIVS</v>
      </c>
      <c r="D691" s="602" t="s">
        <v>1733</v>
      </c>
      <c r="E691" s="601" t="s">
        <v>1631</v>
      </c>
      <c r="F691" s="601" t="s">
        <v>551</v>
      </c>
      <c r="G691" s="601">
        <v>5903000</v>
      </c>
      <c r="H691" s="601">
        <v>2485000</v>
      </c>
      <c r="I691" s="601">
        <v>6657000</v>
      </c>
      <c r="J691" s="601">
        <v>5188000</v>
      </c>
      <c r="K691" s="601">
        <v>5841000</v>
      </c>
      <c r="L691" s="601">
        <v>7429000</v>
      </c>
    </row>
    <row r="692" spans="1:12" hidden="1">
      <c r="A692" s="601" t="s">
        <v>1734</v>
      </c>
      <c r="B692" s="601" t="str">
        <f t="shared" si="10"/>
        <v xml:space="preserve">NIKE </v>
      </c>
      <c r="C692" s="601" t="str">
        <f>MID(Table3[[#This Row],[Statement Code]],FIND("- ",Table3[[#This Row],[Statement Code]])+2,100)</f>
        <v>NET DEBT</v>
      </c>
      <c r="D692" s="602" t="s">
        <v>1735</v>
      </c>
      <c r="E692" s="601" t="s">
        <v>1631</v>
      </c>
      <c r="F692" s="601" t="s">
        <v>551</v>
      </c>
      <c r="G692" s="601">
        <v>-1426000</v>
      </c>
      <c r="H692" s="601">
        <v>870000</v>
      </c>
      <c r="I692" s="601">
        <v>-4061000</v>
      </c>
      <c r="J692" s="601">
        <v>-3567000</v>
      </c>
      <c r="K692" s="601">
        <v>-1742000</v>
      </c>
      <c r="L692" s="601">
        <v>-2673000</v>
      </c>
    </row>
    <row r="693" spans="1:12">
      <c r="A693" s="601" t="s">
        <v>1736</v>
      </c>
      <c r="B693" s="601" t="str">
        <f t="shared" si="10"/>
        <v xml:space="preserve">NIKE </v>
      </c>
      <c r="C693" s="601" t="str">
        <f>MID(Table3[[#This Row],[Statement Code]],FIND("- ",Table3[[#This Row],[Statement Code]])+2,100)</f>
        <v>NET INCOME - DILUTED</v>
      </c>
      <c r="D693" s="602" t="s">
        <v>1737</v>
      </c>
      <c r="E693" s="601" t="s">
        <v>1631</v>
      </c>
      <c r="F693" s="601" t="s">
        <v>551</v>
      </c>
      <c r="G693" s="601">
        <v>4029000</v>
      </c>
      <c r="H693" s="601">
        <v>2539000</v>
      </c>
      <c r="I693" s="601">
        <v>5727000</v>
      </c>
      <c r="J693" s="601">
        <v>6046000</v>
      </c>
      <c r="K693" s="601">
        <v>5070000</v>
      </c>
      <c r="L693" s="601">
        <v>5700000</v>
      </c>
    </row>
    <row r="694" spans="1:12">
      <c r="A694" s="601" t="s">
        <v>1738</v>
      </c>
      <c r="B694" s="601" t="str">
        <f t="shared" si="10"/>
        <v xml:space="preserve">NIKE </v>
      </c>
      <c r="C694" s="601" t="str">
        <f>MID(Table3[[#This Row],[Statement Code]],FIND("- ",Table3[[#This Row],[Statement Code]])+2,100)</f>
        <v>NET SALES OR REVENUES</v>
      </c>
      <c r="D694" s="602" t="s">
        <v>1739</v>
      </c>
      <c r="E694" s="601" t="s">
        <v>1631</v>
      </c>
      <c r="F694" s="601" t="s">
        <v>551</v>
      </c>
      <c r="G694" s="601">
        <v>39117000</v>
      </c>
      <c r="H694" s="601">
        <v>37403000</v>
      </c>
      <c r="I694" s="601">
        <v>44538000</v>
      </c>
      <c r="J694" s="601">
        <v>46710000</v>
      </c>
      <c r="K694" s="601">
        <v>51217000</v>
      </c>
      <c r="L694" s="601">
        <v>51362000</v>
      </c>
    </row>
    <row r="695" spans="1:12" hidden="1">
      <c r="A695" s="601" t="s">
        <v>1740</v>
      </c>
      <c r="B695" s="601" t="str">
        <f t="shared" si="10"/>
        <v xml:space="preserve">NIKE </v>
      </c>
      <c r="C695" s="601" t="str">
        <f>MID(Table3[[#This Row],[Statement Code]],FIND("- ",Table3[[#This Row],[Statement Code]])+2,100)</f>
        <v>NON-OPERATING INTEREST INCOME</v>
      </c>
      <c r="D695" s="602" t="s">
        <v>1741</v>
      </c>
      <c r="E695" s="601" t="s">
        <v>1631</v>
      </c>
      <c r="F695" s="601" t="s">
        <v>551</v>
      </c>
      <c r="G695" s="601">
        <v>82000</v>
      </c>
      <c r="H695" s="601">
        <v>62000</v>
      </c>
      <c r="I695" s="601">
        <v>34000</v>
      </c>
      <c r="J695" s="601">
        <v>94000</v>
      </c>
      <c r="K695" s="601">
        <v>297000</v>
      </c>
      <c r="L695" s="601">
        <v>430000</v>
      </c>
    </row>
    <row r="696" spans="1:12" hidden="1">
      <c r="A696" s="601" t="s">
        <v>1742</v>
      </c>
      <c r="B696" s="601" t="str">
        <f t="shared" si="10"/>
        <v xml:space="preserve">NIKE </v>
      </c>
      <c r="C696" s="601" t="str">
        <f>MID(Table3[[#This Row],[Statement Code]],FIND("- ",Table3[[#This Row],[Statement Code]])+2,100)</f>
        <v>OPERATING EXPENSES - TOTAL</v>
      </c>
      <c r="D696" s="602" t="s">
        <v>1743</v>
      </c>
      <c r="E696" s="601" t="s">
        <v>1631</v>
      </c>
      <c r="F696" s="601" t="s">
        <v>551</v>
      </c>
      <c r="G696" s="601">
        <v>34345000</v>
      </c>
      <c r="H696" s="601">
        <v>34288000</v>
      </c>
      <c r="I696" s="601">
        <v>37352000</v>
      </c>
      <c r="J696" s="601">
        <v>40035000</v>
      </c>
      <c r="K696" s="601">
        <v>45302000</v>
      </c>
      <c r="L696" s="601">
        <v>44672000</v>
      </c>
    </row>
    <row r="697" spans="1:12">
      <c r="A697" s="601" t="s">
        <v>1744</v>
      </c>
      <c r="B697" s="601" t="str">
        <f t="shared" si="10"/>
        <v xml:space="preserve">NIKE </v>
      </c>
      <c r="C697" s="601" t="str">
        <f>MID(Table3[[#This Row],[Statement Code]],FIND("- ",Table3[[#This Row],[Statement Code]])+2,100)</f>
        <v>OPERATING INCOME</v>
      </c>
      <c r="D697" s="602" t="s">
        <v>1745</v>
      </c>
      <c r="E697" s="601" t="s">
        <v>1631</v>
      </c>
      <c r="F697" s="601" t="s">
        <v>551</v>
      </c>
      <c r="G697" s="601">
        <v>4772000</v>
      </c>
      <c r="H697" s="601">
        <v>3115000</v>
      </c>
      <c r="I697" s="601">
        <v>7186000</v>
      </c>
      <c r="J697" s="601">
        <v>6675000</v>
      </c>
      <c r="K697" s="601">
        <v>5915000</v>
      </c>
      <c r="L697" s="601">
        <v>6690000</v>
      </c>
    </row>
    <row r="698" spans="1:12" hidden="1">
      <c r="A698" s="601" t="s">
        <v>1746</v>
      </c>
      <c r="B698" s="601" t="str">
        <f t="shared" si="10"/>
        <v xml:space="preserve">NIKE </v>
      </c>
      <c r="C698" s="601" t="str">
        <f>MID(Table3[[#This Row],[Statement Code]],FIND("- ",Table3[[#This Row],[Statement Code]])+2,100)</f>
        <v>PRETAX INCOME</v>
      </c>
      <c r="D698" s="602" t="s">
        <v>1747</v>
      </c>
      <c r="E698" s="601" t="s">
        <v>1631</v>
      </c>
      <c r="F698" s="601" t="s">
        <v>551</v>
      </c>
      <c r="G698" s="601">
        <v>4801000</v>
      </c>
      <c r="H698" s="601">
        <v>2887000</v>
      </c>
      <c r="I698" s="601">
        <v>6661000</v>
      </c>
      <c r="J698" s="601">
        <v>6651000</v>
      </c>
      <c r="K698" s="601">
        <v>6201000</v>
      </c>
      <c r="L698" s="601">
        <v>6700000</v>
      </c>
    </row>
    <row r="699" spans="1:12" hidden="1">
      <c r="A699" s="601" t="s">
        <v>1748</v>
      </c>
      <c r="B699" s="601" t="str">
        <f t="shared" si="10"/>
        <v xml:space="preserve">NIKE </v>
      </c>
      <c r="C699" s="601" t="str">
        <f>MID(Table3[[#This Row],[Statement Code]],FIND("- ",Table3[[#This Row],[Statement Code]])+2,100)</f>
        <v>PROPERTY, PLANT &amp; EQUIP - NET</v>
      </c>
      <c r="D699" s="602" t="s">
        <v>1749</v>
      </c>
      <c r="E699" s="601" t="s">
        <v>1631</v>
      </c>
      <c r="F699" s="601" t="s">
        <v>551</v>
      </c>
      <c r="G699" s="601">
        <v>4744000</v>
      </c>
      <c r="H699" s="601">
        <v>7963000</v>
      </c>
      <c r="I699" s="601">
        <v>8017000</v>
      </c>
      <c r="J699" s="601">
        <v>7717000</v>
      </c>
      <c r="K699" s="601">
        <v>8004000</v>
      </c>
      <c r="L699" s="601">
        <v>7718000</v>
      </c>
    </row>
    <row r="700" spans="1:12" hidden="1">
      <c r="A700" s="601" t="s">
        <v>1750</v>
      </c>
      <c r="B700" s="601" t="str">
        <f t="shared" si="10"/>
        <v xml:space="preserve">NIKE </v>
      </c>
      <c r="C700" s="601" t="str">
        <f>MID(Table3[[#This Row],[Statement Code]],FIND("- ",Table3[[#This Row],[Statement Code]])+2,100)</f>
        <v>RECEIVABLES(NET)</v>
      </c>
      <c r="D700" s="602" t="s">
        <v>1751</v>
      </c>
      <c r="E700" s="601" t="s">
        <v>1631</v>
      </c>
      <c r="F700" s="601" t="s">
        <v>551</v>
      </c>
      <c r="G700" s="601">
        <v>4272000</v>
      </c>
      <c r="H700" s="601">
        <v>2749000</v>
      </c>
      <c r="I700" s="601">
        <v>4463000</v>
      </c>
      <c r="J700" s="601">
        <v>4667000</v>
      </c>
      <c r="K700" s="601">
        <v>4131000</v>
      </c>
      <c r="L700" s="601">
        <v>4427000</v>
      </c>
    </row>
    <row r="701" spans="1:12">
      <c r="A701" s="601" t="s">
        <v>1752</v>
      </c>
      <c r="B701" s="601" t="str">
        <f t="shared" si="10"/>
        <v xml:space="preserve">NIKE </v>
      </c>
      <c r="C701" s="601" t="str">
        <f>MID(Table3[[#This Row],[Statement Code]],FIND("- ",Table3[[#This Row],[Statement Code]])+2,100)</f>
        <v>SELLING, GENERAL &amp; ADMINISTRAT</v>
      </c>
      <c r="D701" s="602" t="s">
        <v>1753</v>
      </c>
      <c r="E701" s="601" t="s">
        <v>1631</v>
      </c>
      <c r="F701" s="601" t="s">
        <v>551</v>
      </c>
      <c r="G701" s="601">
        <v>12702000</v>
      </c>
      <c r="H701" s="601">
        <v>13126000</v>
      </c>
      <c r="I701" s="601">
        <v>12811000</v>
      </c>
      <c r="J701" s="601">
        <v>14804000</v>
      </c>
      <c r="K701" s="601">
        <v>16377000</v>
      </c>
      <c r="L701" s="601">
        <v>16197000</v>
      </c>
    </row>
    <row r="702" spans="1:12" hidden="1">
      <c r="A702" s="601" t="s">
        <v>1754</v>
      </c>
      <c r="B702" s="601" t="str">
        <f t="shared" si="10"/>
        <v xml:space="preserve">NIKE </v>
      </c>
      <c r="C702" s="601" t="str">
        <f>MID(Table3[[#This Row],[Statement Code]],FIND("- ",Table3[[#This Row],[Statement Code]])+2,100)</f>
        <v>SHORT TERM DEBT &amp; CURRENT PORT</v>
      </c>
      <c r="D702" s="602" t="s">
        <v>1755</v>
      </c>
      <c r="E702" s="601" t="s">
        <v>1631</v>
      </c>
      <c r="F702" s="601" t="s">
        <v>551</v>
      </c>
      <c r="G702" s="601">
        <v>47000</v>
      </c>
      <c r="H702" s="601">
        <v>251000</v>
      </c>
      <c r="I702" s="601">
        <v>2000</v>
      </c>
      <c r="J702" s="601">
        <v>510000</v>
      </c>
      <c r="K702" s="601">
        <v>6000</v>
      </c>
      <c r="L702" s="601">
        <v>1006000</v>
      </c>
    </row>
    <row r="703" spans="1:12">
      <c r="A703" s="601" t="s">
        <v>1756</v>
      </c>
      <c r="B703" s="601" t="str">
        <f t="shared" si="10"/>
        <v xml:space="preserve">NIKE </v>
      </c>
      <c r="C703" s="601" t="str">
        <f>MID(Table3[[#This Row],[Statement Code]],FIND("- ",Table3[[#This Row],[Statement Code]])+2,100)</f>
        <v>TOTAL ASSETS</v>
      </c>
      <c r="D703" s="602" t="s">
        <v>1757</v>
      </c>
      <c r="E703" s="601" t="s">
        <v>1631</v>
      </c>
      <c r="F703" s="601" t="s">
        <v>551</v>
      </c>
      <c r="G703" s="601">
        <v>21712000</v>
      </c>
      <c r="H703" s="601">
        <v>29016000</v>
      </c>
      <c r="I703" s="601">
        <v>34819000</v>
      </c>
      <c r="J703" s="601">
        <v>36500000</v>
      </c>
      <c r="K703" s="601">
        <v>33761000</v>
      </c>
      <c r="L703" s="601">
        <v>33599000</v>
      </c>
    </row>
    <row r="704" spans="1:12" hidden="1">
      <c r="A704" s="601" t="s">
        <v>1758</v>
      </c>
      <c r="B704" s="601" t="str">
        <f t="shared" si="10"/>
        <v xml:space="preserve">NIKE </v>
      </c>
      <c r="C704" s="601" t="str">
        <f>MID(Table3[[#This Row],[Statement Code]],FIND("- ",Table3[[#This Row],[Statement Code]])+2,100)</f>
        <v>TOTAL CAPITAL</v>
      </c>
      <c r="D704" s="602" t="s">
        <v>1759</v>
      </c>
      <c r="E704" s="601" t="s">
        <v>1631</v>
      </c>
      <c r="F704" s="601" t="s">
        <v>551</v>
      </c>
      <c r="G704" s="601">
        <v>12846000</v>
      </c>
      <c r="H704" s="601">
        <v>17461000</v>
      </c>
      <c r="I704" s="601">
        <v>22180000</v>
      </c>
      <c r="J704" s="601">
        <v>24201000</v>
      </c>
      <c r="K704" s="601">
        <v>22931000</v>
      </c>
      <c r="L704" s="601">
        <v>22333000</v>
      </c>
    </row>
    <row r="705" spans="1:12">
      <c r="A705" s="601" t="s">
        <v>1760</v>
      </c>
      <c r="B705" s="601" t="str">
        <f t="shared" si="10"/>
        <v xml:space="preserve">NIKE </v>
      </c>
      <c r="C705" s="601" t="str">
        <f>MID(Table3[[#This Row],[Statement Code]],FIND("- ",Table3[[#This Row],[Statement Code]])+2,100)</f>
        <v>TOTAL DEBT</v>
      </c>
      <c r="D705" s="602" t="s">
        <v>1761</v>
      </c>
      <c r="E705" s="601" t="s">
        <v>1631</v>
      </c>
      <c r="F705" s="601" t="s">
        <v>551</v>
      </c>
      <c r="G705" s="601">
        <v>3853000</v>
      </c>
      <c r="H705" s="601">
        <v>9657000</v>
      </c>
      <c r="I705" s="601">
        <v>9415000</v>
      </c>
      <c r="J705" s="601">
        <v>9430000</v>
      </c>
      <c r="K705" s="601">
        <v>8933000</v>
      </c>
      <c r="L705" s="601">
        <v>8909000</v>
      </c>
    </row>
    <row r="706" spans="1:12" hidden="1">
      <c r="A706" s="601" t="s">
        <v>1762</v>
      </c>
      <c r="B706" s="601" t="str">
        <f t="shared" si="10"/>
        <v xml:space="preserve">NIKE </v>
      </c>
      <c r="C706" s="601" t="str">
        <f>MID(Table3[[#This Row],[Statement Code]],FIND("- ",Table3[[#This Row],[Statement Code]])+2,100)</f>
        <v>TOTAL INTANGIBLE OT ASSETS-NET</v>
      </c>
      <c r="D706" s="602" t="s">
        <v>1763</v>
      </c>
      <c r="E706" s="601" t="s">
        <v>1631</v>
      </c>
      <c r="F706" s="601" t="s">
        <v>551</v>
      </c>
      <c r="G706" s="601">
        <v>437000</v>
      </c>
      <c r="H706" s="601">
        <v>497000</v>
      </c>
      <c r="I706" s="601">
        <v>511000</v>
      </c>
      <c r="J706" s="601">
        <v>570000</v>
      </c>
      <c r="K706" s="601">
        <v>555000</v>
      </c>
      <c r="L706" s="601">
        <v>499000</v>
      </c>
    </row>
    <row r="707" spans="1:12">
      <c r="A707" s="601" t="s">
        <v>1764</v>
      </c>
      <c r="B707" s="601" t="str">
        <f t="shared" ref="B707:B770" si="11">LEFT(A707,FIND(" ",A707))</f>
        <v xml:space="preserve">NIKE </v>
      </c>
      <c r="C707" s="601" t="str">
        <f>MID(Table3[[#This Row],[Statement Code]],FIND("- ",Table3[[#This Row],[Statement Code]])+2,100)</f>
        <v>TOTAL LIABILITIES</v>
      </c>
      <c r="D707" s="602" t="s">
        <v>1765</v>
      </c>
      <c r="E707" s="601" t="s">
        <v>1631</v>
      </c>
      <c r="F707" s="601" t="s">
        <v>551</v>
      </c>
      <c r="G707" s="601">
        <v>12672000</v>
      </c>
      <c r="H707" s="601">
        <v>20961000</v>
      </c>
      <c r="I707" s="601">
        <v>22052000</v>
      </c>
      <c r="J707" s="601">
        <v>21219000</v>
      </c>
      <c r="K707" s="601">
        <v>19757000</v>
      </c>
      <c r="L707" s="601">
        <v>19169000</v>
      </c>
    </row>
    <row r="708" spans="1:12" hidden="1">
      <c r="A708" s="601" t="s">
        <v>1766</v>
      </c>
      <c r="B708" s="601" t="str">
        <f t="shared" si="11"/>
        <v xml:space="preserve">NIKE </v>
      </c>
      <c r="C708" s="601" t="str">
        <f>MID(Table3[[#This Row],[Statement Code]],FIND("- ",Table3[[#This Row],[Statement Code]])+2,100)</f>
        <v>TOTAL LIABILITIES &amp; SHAREHOLDE</v>
      </c>
      <c r="D708" s="602" t="s">
        <v>1767</v>
      </c>
      <c r="E708" s="601" t="s">
        <v>1631</v>
      </c>
      <c r="F708" s="601" t="s">
        <v>551</v>
      </c>
      <c r="G708" s="601">
        <v>21712000</v>
      </c>
      <c r="H708" s="601">
        <v>29016000</v>
      </c>
      <c r="I708" s="601">
        <v>34819000</v>
      </c>
      <c r="J708" s="601">
        <v>36500000</v>
      </c>
      <c r="K708" s="601">
        <v>33761000</v>
      </c>
      <c r="L708" s="601">
        <v>33599000</v>
      </c>
    </row>
    <row r="709" spans="1:12" hidden="1">
      <c r="A709" s="601" t="s">
        <v>1768</v>
      </c>
      <c r="B709" s="601" t="str">
        <f t="shared" si="11"/>
        <v xml:space="preserve">NIKE </v>
      </c>
      <c r="C709" s="601" t="str">
        <f>MID(Table3[[#This Row],[Statement Code]],FIND("- ",Table3[[#This Row],[Statement Code]])+2,100)</f>
        <v>TOTAL SHAREHOLDERS EQUITY</v>
      </c>
      <c r="D709" s="602" t="s">
        <v>1769</v>
      </c>
      <c r="E709" s="601" t="s">
        <v>1631</v>
      </c>
      <c r="F709" s="601" t="s">
        <v>551</v>
      </c>
      <c r="G709" s="601">
        <v>9040000</v>
      </c>
      <c r="H709" s="601">
        <v>8055000</v>
      </c>
      <c r="I709" s="601">
        <v>12767000</v>
      </c>
      <c r="J709" s="601">
        <v>15281000</v>
      </c>
      <c r="K709" s="601">
        <v>14004000</v>
      </c>
      <c r="L709" s="601">
        <v>14430000</v>
      </c>
    </row>
    <row r="710" spans="1:12" hidden="1">
      <c r="A710" s="601" t="s">
        <v>1770</v>
      </c>
      <c r="B710" s="601" t="str">
        <f t="shared" si="11"/>
        <v xml:space="preserve">NIKE </v>
      </c>
      <c r="C710" s="601" t="str">
        <f>MID(Table3[[#This Row],[Statement Code]],FIND("- ",Table3[[#This Row],[Statement Code]])+2,100)</f>
        <v>WORKING CAPITAL</v>
      </c>
      <c r="D710" s="602" t="s">
        <v>1771</v>
      </c>
      <c r="E710" s="601" t="s">
        <v>1631</v>
      </c>
      <c r="F710" s="601" t="s">
        <v>551</v>
      </c>
      <c r="G710" s="601">
        <v>8659000</v>
      </c>
      <c r="H710" s="601">
        <v>12272000</v>
      </c>
      <c r="I710" s="601">
        <v>16617000</v>
      </c>
      <c r="J710" s="601">
        <v>17483000</v>
      </c>
      <c r="K710" s="601">
        <v>15946000</v>
      </c>
      <c r="L710" s="601">
        <v>14789000</v>
      </c>
    </row>
    <row r="711" spans="1:12" hidden="1">
      <c r="A711" s="601" t="s">
        <v>1772</v>
      </c>
      <c r="B711" s="601" t="str">
        <f t="shared" si="11"/>
        <v xml:space="preserve">NIKE </v>
      </c>
      <c r="C711" s="601" t="str">
        <f>MID(Table3[[#This Row],[Statement Code]],FIND("- ",Table3[[#This Row],[Statement Code]])+2,100)</f>
        <v>BK VAL PS 12M FWD</v>
      </c>
      <c r="D711" s="602" t="s">
        <v>1773</v>
      </c>
      <c r="E711" s="601" t="s">
        <v>1631</v>
      </c>
      <c r="F711" s="601" t="s">
        <v>551</v>
      </c>
      <c r="G711" s="601">
        <v>5.39</v>
      </c>
      <c r="H711" s="601">
        <v>5.46</v>
      </c>
      <c r="I711" s="601">
        <v>10.5</v>
      </c>
      <c r="J711" s="601">
        <v>10.14</v>
      </c>
      <c r="K711" s="601">
        <v>8.7200000000000006</v>
      </c>
      <c r="L711" s="601">
        <v>9.4700000000000006</v>
      </c>
    </row>
    <row r="712" spans="1:12" hidden="1">
      <c r="A712" s="601" t="s">
        <v>1774</v>
      </c>
      <c r="B712" s="601" t="str">
        <f t="shared" si="11"/>
        <v xml:space="preserve">NIKE </v>
      </c>
      <c r="C712" s="601" t="str">
        <f>MID(Table3[[#This Row],[Statement Code]],FIND("- ",Table3[[#This Row],[Statement Code]])+2,100)</f>
        <v>EV 12M FWD</v>
      </c>
      <c r="D712" s="602" t="s">
        <v>1775</v>
      </c>
      <c r="E712" s="601" t="s">
        <v>1631</v>
      </c>
      <c r="F712" s="601" t="s">
        <v>551</v>
      </c>
      <c r="G712" s="601">
        <v>129942800</v>
      </c>
      <c r="H712" s="601">
        <v>174146000</v>
      </c>
      <c r="I712" s="601">
        <v>225135800</v>
      </c>
      <c r="J712" s="601">
        <v>168383900</v>
      </c>
      <c r="K712" s="601">
        <v>156440800</v>
      </c>
      <c r="L712" s="601">
        <v>127317400</v>
      </c>
    </row>
    <row r="713" spans="1:12" hidden="1">
      <c r="A713" s="601" t="s">
        <v>1776</v>
      </c>
      <c r="B713" s="601" t="str">
        <f t="shared" si="11"/>
        <v xml:space="preserve">NIKE </v>
      </c>
      <c r="C713" s="601" t="str">
        <f>MID(Table3[[#This Row],[Statement Code]],FIND("- ",Table3[[#This Row],[Statement Code]])+2,100)</f>
        <v>NET INCOME 12M FWD</v>
      </c>
      <c r="D713" s="602" t="s">
        <v>1777</v>
      </c>
      <c r="E713" s="601" t="s">
        <v>1631</v>
      </c>
      <c r="F713" s="601" t="s">
        <v>551</v>
      </c>
      <c r="G713" s="601">
        <v>4731734</v>
      </c>
      <c r="H713" s="601">
        <v>4138828</v>
      </c>
      <c r="I713" s="601">
        <v>7189512</v>
      </c>
      <c r="J713" s="601">
        <v>6243973</v>
      </c>
      <c r="K713" s="601">
        <v>6039051</v>
      </c>
      <c r="L713" s="601">
        <v>4737648</v>
      </c>
    </row>
    <row r="714" spans="1:12" hidden="1">
      <c r="A714" s="601" t="s">
        <v>1778</v>
      </c>
      <c r="B714" s="601" t="str">
        <f t="shared" si="11"/>
        <v xml:space="preserve">NIKE </v>
      </c>
      <c r="C714" s="601" t="str">
        <f>MID(Table3[[#This Row],[Statement Code]],FIND("- ",Table3[[#This Row],[Statement Code]])+2,100)</f>
        <v>PRETAX PRF 12M FWD</v>
      </c>
      <c r="D714" s="602" t="s">
        <v>1779</v>
      </c>
      <c r="E714" s="601" t="s">
        <v>1631</v>
      </c>
      <c r="F714" s="601" t="s">
        <v>551</v>
      </c>
      <c r="G714" s="601">
        <v>5636770</v>
      </c>
      <c r="H714" s="601">
        <v>4800168</v>
      </c>
      <c r="I714" s="601">
        <v>8389930</v>
      </c>
      <c r="J714" s="601">
        <v>7319410</v>
      </c>
      <c r="K714" s="601">
        <v>7333316</v>
      </c>
      <c r="L714" s="601">
        <v>5790645</v>
      </c>
    </row>
    <row r="715" spans="1:12" hidden="1">
      <c r="A715" s="601" t="s">
        <v>1780</v>
      </c>
      <c r="B715" s="601" t="str">
        <f t="shared" si="11"/>
        <v xml:space="preserve">NIKE </v>
      </c>
      <c r="C715" s="601" t="str">
        <f>MID(Table3[[#This Row],[Statement Code]],FIND("- ",Table3[[#This Row],[Statement Code]])+2,100)</f>
        <v>ROE 12M FWD</v>
      </c>
      <c r="D715" s="602" t="s">
        <v>1781</v>
      </c>
      <c r="E715" s="601" t="s">
        <v>1631</v>
      </c>
      <c r="F715" s="601" t="s">
        <v>551</v>
      </c>
      <c r="G715" s="601">
        <v>49.65</v>
      </c>
      <c r="H715" s="601">
        <v>50.9</v>
      </c>
      <c r="I715" s="601">
        <v>48.39</v>
      </c>
      <c r="J715" s="601">
        <v>39.56</v>
      </c>
      <c r="K715" s="601">
        <v>43.35</v>
      </c>
      <c r="L715" s="601">
        <v>34.159999999999997</v>
      </c>
    </row>
    <row r="716" spans="1:12" hidden="1">
      <c r="A716" s="601" t="s">
        <v>1782</v>
      </c>
      <c r="B716" s="601" t="str">
        <f t="shared" si="11"/>
        <v xml:space="preserve">NIKE </v>
      </c>
      <c r="C716" s="601" t="str">
        <f>MID(Table3[[#This Row],[Statement Code]],FIND("- ",Table3[[#This Row],[Statement Code]])+2,100)</f>
        <v>SALES 12M FWD</v>
      </c>
      <c r="D716" s="602" t="s">
        <v>1783</v>
      </c>
      <c r="E716" s="601" t="s">
        <v>1631</v>
      </c>
      <c r="F716" s="601" t="s">
        <v>551</v>
      </c>
      <c r="G716" s="601">
        <v>43034110</v>
      </c>
      <c r="H716" s="601">
        <v>41300420</v>
      </c>
      <c r="I716" s="601">
        <v>51735040</v>
      </c>
      <c r="J716" s="601">
        <v>51902690</v>
      </c>
      <c r="K716" s="601">
        <v>55110060</v>
      </c>
      <c r="L716" s="601">
        <v>49429840</v>
      </c>
    </row>
    <row r="717" spans="1:12" hidden="1">
      <c r="A717" s="601" t="s">
        <v>1784</v>
      </c>
      <c r="B717" s="601" t="str">
        <f t="shared" si="11"/>
        <v xml:space="preserve">NIKE </v>
      </c>
      <c r="C717" s="601" t="str">
        <f>MID(Table3[[#This Row],[Statement Code]],FIND("- ",Table3[[#This Row],[Statement Code]])+2,100)</f>
        <v>DECREASE/INCREASE RECEIVABLES</v>
      </c>
      <c r="D717" s="602" t="s">
        <v>1785</v>
      </c>
      <c r="E717" s="601" t="s">
        <v>1631</v>
      </c>
      <c r="F717" s="601" t="s">
        <v>551</v>
      </c>
      <c r="G717" s="601">
        <v>-270000</v>
      </c>
      <c r="H717" s="601">
        <v>1239000</v>
      </c>
      <c r="I717" s="601">
        <v>-1606000</v>
      </c>
      <c r="J717" s="601">
        <v>-504000</v>
      </c>
      <c r="K717" s="601">
        <v>489000</v>
      </c>
      <c r="L717" s="601">
        <v>-329000</v>
      </c>
    </row>
    <row r="718" spans="1:12" hidden="1">
      <c r="A718" s="601" t="s">
        <v>1786</v>
      </c>
      <c r="B718" s="601" t="str">
        <f t="shared" si="11"/>
        <v xml:space="preserve">NIKE </v>
      </c>
      <c r="C718" s="601" t="str">
        <f>MID(Table3[[#This Row],[Statement Code]],FIND("- ",Table3[[#This Row],[Statement Code]])+2,100)</f>
        <v>DECREASE/INCR OTH ASTS/LIABILT</v>
      </c>
      <c r="D718" s="602" t="s">
        <v>1787</v>
      </c>
      <c r="E718" s="601" t="s">
        <v>1631</v>
      </c>
      <c r="F718" s="601" t="s">
        <v>551</v>
      </c>
      <c r="G718" s="601">
        <v>-203000</v>
      </c>
      <c r="H718" s="601">
        <v>-654000</v>
      </c>
      <c r="I718" s="601">
        <v>-182000</v>
      </c>
      <c r="J718" s="601">
        <v>-845000</v>
      </c>
      <c r="K718" s="601">
        <v>-644000</v>
      </c>
      <c r="L718" s="601">
        <v>-260000</v>
      </c>
    </row>
    <row r="719" spans="1:12" hidden="1">
      <c r="A719" s="601" t="s">
        <v>1788</v>
      </c>
      <c r="B719" s="601" t="str">
        <f t="shared" si="11"/>
        <v xml:space="preserve">NIKE </v>
      </c>
      <c r="C719" s="601" t="str">
        <f>MID(Table3[[#This Row],[Statement Code]],FIND("- ",Table3[[#This Row],[Statement Code]])+2,100)</f>
        <v>DECREASE/INCREASE INVENTORIES</v>
      </c>
      <c r="D719" s="602" t="s">
        <v>1789</v>
      </c>
      <c r="E719" s="601" t="s">
        <v>1631</v>
      </c>
      <c r="F719" s="601" t="s">
        <v>551</v>
      </c>
      <c r="G719" s="601">
        <v>-490000</v>
      </c>
      <c r="H719" s="601">
        <v>-1854000</v>
      </c>
      <c r="I719" s="601">
        <v>507000</v>
      </c>
      <c r="J719" s="601">
        <v>-1676000</v>
      </c>
      <c r="K719" s="601">
        <v>-133000</v>
      </c>
      <c r="L719" s="601">
        <v>908000</v>
      </c>
    </row>
    <row r="720" spans="1:12" hidden="1">
      <c r="A720" s="601" t="s">
        <v>1790</v>
      </c>
      <c r="B720" s="601" t="str">
        <f t="shared" si="11"/>
        <v xml:space="preserve">NIKE </v>
      </c>
      <c r="C720" s="601" t="str">
        <f>MID(Table3[[#This Row],[Statement Code]],FIND("- ",Table3[[#This Row],[Statement Code]])+2,100)</f>
        <v>DECREASE IN INVESTMENTS</v>
      </c>
      <c r="D720" s="602" t="s">
        <v>1791</v>
      </c>
      <c r="E720" s="601" t="s">
        <v>1631</v>
      </c>
      <c r="F720" s="601" t="s">
        <v>551</v>
      </c>
      <c r="G720" s="601">
        <v>3787000</v>
      </c>
      <c r="H720" s="601">
        <v>2453000</v>
      </c>
      <c r="I720" s="601">
        <v>6685000</v>
      </c>
      <c r="J720" s="601">
        <v>12166000</v>
      </c>
      <c r="K720" s="601">
        <v>7540000</v>
      </c>
      <c r="L720" s="601">
        <v>6488000</v>
      </c>
    </row>
    <row r="721" spans="1:12" hidden="1">
      <c r="A721" s="601" t="s">
        <v>1792</v>
      </c>
      <c r="B721" s="601" t="str">
        <f t="shared" si="11"/>
        <v xml:space="preserve">ADIDAS </v>
      </c>
      <c r="C721" s="601" t="str">
        <f>MID(Table3[[#This Row],[Statement Code]],FIND("- ",Table3[[#This Row],[Statement Code]])+2,100)</f>
        <v>MARKET VALUE</v>
      </c>
      <c r="D721" s="602" t="s">
        <v>1793</v>
      </c>
      <c r="E721" s="601" t="s">
        <v>1794</v>
      </c>
      <c r="F721" s="601" t="s">
        <v>551</v>
      </c>
      <c r="G721" s="601">
        <v>60630.34</v>
      </c>
      <c r="H721" s="601">
        <v>66598.92</v>
      </c>
      <c r="I721" s="601">
        <v>66511.91</v>
      </c>
      <c r="J721" s="601">
        <v>25953.94</v>
      </c>
      <c r="K721" s="601">
        <v>32587.52</v>
      </c>
      <c r="L721" s="601">
        <v>44287.99</v>
      </c>
    </row>
    <row r="722" spans="1:12" hidden="1">
      <c r="A722" s="601" t="s">
        <v>1795</v>
      </c>
      <c r="B722" s="601" t="str">
        <f t="shared" si="11"/>
        <v xml:space="preserve">ADIDAS </v>
      </c>
      <c r="C722" s="601" t="str">
        <f>MID(Table3[[#This Row],[Statement Code]],FIND("- ",Table3[[#This Row],[Statement Code]])+2,100)</f>
        <v>PER</v>
      </c>
      <c r="D722" s="602" t="s">
        <v>1796</v>
      </c>
      <c r="E722" s="601" t="s">
        <v>1794</v>
      </c>
      <c r="F722" s="601" t="s">
        <v>717</v>
      </c>
      <c r="G722" s="601">
        <v>28.2</v>
      </c>
      <c r="H722" s="601">
        <v>100.5</v>
      </c>
      <c r="I722" s="601">
        <v>33.4</v>
      </c>
      <c r="J722" s="601">
        <v>13.3</v>
      </c>
      <c r="K722" s="601" t="s">
        <v>23</v>
      </c>
      <c r="L722" s="601">
        <v>164.6</v>
      </c>
    </row>
    <row r="723" spans="1:12" hidden="1">
      <c r="A723" s="601" t="s">
        <v>1797</v>
      </c>
      <c r="B723" s="601" t="str">
        <f t="shared" si="11"/>
        <v xml:space="preserve">ADIDAS </v>
      </c>
      <c r="C723" s="601" t="str">
        <f>MID(Table3[[#This Row],[Statement Code]],FIND("- ",Table3[[#This Row],[Statement Code]])+2,100)</f>
        <v>12MTH FORWARD EPS</v>
      </c>
      <c r="D723" s="602" t="s">
        <v>1798</v>
      </c>
      <c r="E723" s="601" t="s">
        <v>1794</v>
      </c>
      <c r="F723" s="601" t="s">
        <v>551</v>
      </c>
      <c r="G723" s="601">
        <v>11.763</v>
      </c>
      <c r="H723" s="601">
        <v>8.4169999999999998</v>
      </c>
      <c r="I723" s="601">
        <v>11.326000000000001</v>
      </c>
      <c r="J723" s="601">
        <v>8.27</v>
      </c>
      <c r="K723" s="601">
        <v>2.9649999999999999</v>
      </c>
      <c r="L723" s="601">
        <v>6.6379999999999999</v>
      </c>
    </row>
    <row r="724" spans="1:12" hidden="1">
      <c r="A724" s="601" t="s">
        <v>1799</v>
      </c>
      <c r="B724" s="601" t="e">
        <f t="shared" si="11"/>
        <v>#VALUE!</v>
      </c>
      <c r="C724" s="601" t="e">
        <f>MID(Table3[[#This Row],[Statement Code]],FIND("- ",Table3[[#This Row],[Statement Code]])+2,100)</f>
        <v>#VALUE!</v>
      </c>
      <c r="D724" s="602" t="s">
        <v>1800</v>
      </c>
      <c r="E724" s="601" t="s">
        <v>1794</v>
      </c>
      <c r="F724" s="601" t="s">
        <v>717</v>
      </c>
      <c r="G724" s="601">
        <v>4.0640000000000001</v>
      </c>
      <c r="H724" s="601">
        <v>2.544</v>
      </c>
      <c r="I724" s="601">
        <v>3.2869999999999999</v>
      </c>
      <c r="J724" s="601">
        <v>5.77</v>
      </c>
      <c r="K724" s="601">
        <v>1.5920000000000001</v>
      </c>
      <c r="L724" s="601">
        <v>2.7109999999999999</v>
      </c>
    </row>
    <row r="725" spans="1:12" hidden="1">
      <c r="A725" s="601" t="s">
        <v>1799</v>
      </c>
      <c r="B725" s="601" t="e">
        <f t="shared" si="11"/>
        <v>#VALUE!</v>
      </c>
      <c r="C725" s="601" t="e">
        <f>MID(Table3[[#This Row],[Statement Code]],FIND("- ",Table3[[#This Row],[Statement Code]])+2,100)</f>
        <v>#VALUE!</v>
      </c>
      <c r="D725" s="602" t="s">
        <v>1801</v>
      </c>
      <c r="E725" s="601" t="s">
        <v>1794</v>
      </c>
      <c r="F725" s="601" t="s">
        <v>23</v>
      </c>
      <c r="G725" s="601">
        <v>19.489000000000001</v>
      </c>
      <c r="H725" s="601">
        <v>29.035</v>
      </c>
      <c r="I725" s="601">
        <v>22.065000000000001</v>
      </c>
      <c r="J725" s="601">
        <v>14.901999999999999</v>
      </c>
      <c r="K725" s="601">
        <v>37.57</v>
      </c>
      <c r="L725" s="601">
        <v>26.239000000000001</v>
      </c>
    </row>
    <row r="726" spans="1:12" hidden="1">
      <c r="A726" s="601" t="s">
        <v>1799</v>
      </c>
      <c r="B726" s="601" t="e">
        <f t="shared" si="11"/>
        <v>#VALUE!</v>
      </c>
      <c r="C726" s="601" t="e">
        <f>MID(Table3[[#This Row],[Statement Code]],FIND("- ",Table3[[#This Row],[Statement Code]])+2,100)</f>
        <v>#VALUE!</v>
      </c>
      <c r="D726" s="602" t="s">
        <v>1802</v>
      </c>
      <c r="E726" s="601" t="s">
        <v>1794</v>
      </c>
      <c r="F726" s="601" t="s">
        <v>23</v>
      </c>
      <c r="G726" s="601">
        <v>15.532999999999999</v>
      </c>
      <c r="H726" s="601">
        <v>19.38</v>
      </c>
      <c r="I726" s="601">
        <v>15.222</v>
      </c>
      <c r="J726" s="601">
        <v>9.641</v>
      </c>
      <c r="K726" s="601">
        <v>16.62</v>
      </c>
      <c r="L726" s="601">
        <v>15.151999999999999</v>
      </c>
    </row>
    <row r="727" spans="1:12" hidden="1">
      <c r="A727" s="601" t="s">
        <v>1799</v>
      </c>
      <c r="B727" s="601" t="e">
        <f t="shared" si="11"/>
        <v>#VALUE!</v>
      </c>
      <c r="C727" s="601" t="e">
        <f>MID(Table3[[#This Row],[Statement Code]],FIND("- ",Table3[[#This Row],[Statement Code]])+2,100)</f>
        <v>#VALUE!</v>
      </c>
      <c r="D727" s="602" t="s">
        <v>1803</v>
      </c>
      <c r="E727" s="601" t="s">
        <v>1794</v>
      </c>
      <c r="F727" s="601" t="s">
        <v>717</v>
      </c>
      <c r="G727" s="601">
        <v>3.1890000000000001</v>
      </c>
      <c r="H727" s="601">
        <v>2.5270000000000001</v>
      </c>
      <c r="I727" s="601">
        <v>3.6669999999999998</v>
      </c>
      <c r="J727" s="601">
        <v>6.1230000000000002</v>
      </c>
      <c r="K727" s="601">
        <v>3.5150000000000001</v>
      </c>
      <c r="L727" s="601">
        <v>3.827</v>
      </c>
    </row>
    <row r="728" spans="1:12" hidden="1">
      <c r="A728" s="601" t="s">
        <v>1799</v>
      </c>
      <c r="B728" s="601" t="e">
        <f t="shared" si="11"/>
        <v>#VALUE!</v>
      </c>
      <c r="C728" s="601" t="e">
        <f>MID(Table3[[#This Row],[Statement Code]],FIND("- ",Table3[[#This Row],[Statement Code]])+2,100)</f>
        <v>#VALUE!</v>
      </c>
      <c r="D728" s="602" t="s">
        <v>1804</v>
      </c>
      <c r="E728" s="601" t="s">
        <v>1794</v>
      </c>
      <c r="F728" s="601" t="s">
        <v>23</v>
      </c>
      <c r="G728" s="601">
        <v>2.3109999999999999</v>
      </c>
      <c r="H728" s="601">
        <v>2.5609999999999999</v>
      </c>
      <c r="I728" s="601">
        <v>2.4750000000000001</v>
      </c>
      <c r="J728" s="601">
        <v>1.242</v>
      </c>
      <c r="K728" s="601">
        <v>1.5069999999999999</v>
      </c>
      <c r="L728" s="601">
        <v>1.7829999999999999</v>
      </c>
    </row>
    <row r="729" spans="1:12" hidden="1">
      <c r="A729" s="601" t="s">
        <v>1799</v>
      </c>
      <c r="B729" s="601" t="e">
        <f t="shared" si="11"/>
        <v>#VALUE!</v>
      </c>
      <c r="C729" s="601" t="e">
        <f>MID(Table3[[#This Row],[Statement Code]],FIND("- ",Table3[[#This Row],[Statement Code]])+2,100)</f>
        <v>#VALUE!</v>
      </c>
      <c r="D729" s="602" t="s">
        <v>1805</v>
      </c>
      <c r="E729" s="601" t="s">
        <v>1794</v>
      </c>
      <c r="F729" s="601" t="s">
        <v>717</v>
      </c>
      <c r="G729" s="601">
        <v>-0.377</v>
      </c>
      <c r="H729" s="601">
        <v>0.41299999999999998</v>
      </c>
      <c r="I729" s="601">
        <v>-0.28299999999999997</v>
      </c>
      <c r="J729" s="601">
        <v>0.33100000000000002</v>
      </c>
      <c r="K729" s="601">
        <v>1.1759999999999999</v>
      </c>
      <c r="L729" s="601">
        <v>0.66100000000000003</v>
      </c>
    </row>
    <row r="730" spans="1:12" hidden="1">
      <c r="A730" s="601" t="s">
        <v>1799</v>
      </c>
      <c r="B730" s="601" t="e">
        <f t="shared" si="11"/>
        <v>#VALUE!</v>
      </c>
      <c r="C730" s="601" t="e">
        <f>MID(Table3[[#This Row],[Statement Code]],FIND("- ",Table3[[#This Row],[Statement Code]])+2,100)</f>
        <v>#VALUE!</v>
      </c>
      <c r="D730" s="602" t="s">
        <v>1806</v>
      </c>
      <c r="E730" s="601" t="s">
        <v>1794</v>
      </c>
      <c r="F730" s="601" t="s">
        <v>717</v>
      </c>
      <c r="G730" s="601">
        <v>-2.7E-2</v>
      </c>
      <c r="H730" s="601">
        <v>2.5999999999999999E-2</v>
      </c>
      <c r="I730" s="601">
        <v>-1.7999999999999999E-2</v>
      </c>
      <c r="J730" s="601">
        <v>3.7999999999999999E-2</v>
      </c>
      <c r="K730" s="601">
        <v>7.0000000000000007E-2</v>
      </c>
      <c r="L730" s="601">
        <v>4.4999999999999998E-2</v>
      </c>
    </row>
    <row r="731" spans="1:12" hidden="1">
      <c r="A731" s="601" t="s">
        <v>1799</v>
      </c>
      <c r="B731" s="601" t="e">
        <f t="shared" si="11"/>
        <v>#VALUE!</v>
      </c>
      <c r="C731" s="601" t="e">
        <f>MID(Table3[[#This Row],[Statement Code]],FIND("- ",Table3[[#This Row],[Statement Code]])+2,100)</f>
        <v>#VALUE!</v>
      </c>
      <c r="D731" s="602" t="s">
        <v>1807</v>
      </c>
      <c r="E731" s="601" t="s">
        <v>1794</v>
      </c>
      <c r="F731" s="601" t="s">
        <v>717</v>
      </c>
      <c r="G731" s="601">
        <v>1.94</v>
      </c>
      <c r="H731" s="601">
        <v>2.31</v>
      </c>
      <c r="I731" s="601">
        <v>2.0499999999999998</v>
      </c>
      <c r="J731" s="601">
        <v>1.74</v>
      </c>
      <c r="K731" s="601">
        <v>5.68</v>
      </c>
      <c r="L731" s="601">
        <v>2.97</v>
      </c>
    </row>
    <row r="732" spans="1:12" hidden="1">
      <c r="A732" s="601" t="s">
        <v>1799</v>
      </c>
      <c r="B732" s="601" t="e">
        <f t="shared" si="11"/>
        <v>#VALUE!</v>
      </c>
      <c r="C732" s="601" t="e">
        <f>MID(Table3[[#This Row],[Statement Code]],FIND("- ",Table3[[#This Row],[Statement Code]])+2,100)</f>
        <v>#VALUE!</v>
      </c>
      <c r="D732" s="602" t="s">
        <v>1808</v>
      </c>
      <c r="E732" s="601" t="s">
        <v>1794</v>
      </c>
      <c r="F732" s="601" t="s">
        <v>717</v>
      </c>
      <c r="G732" s="601">
        <v>1.01</v>
      </c>
      <c r="H732" s="601">
        <v>0.98</v>
      </c>
      <c r="I732" s="601">
        <v>0.96</v>
      </c>
      <c r="J732" s="601">
        <v>0.97</v>
      </c>
      <c r="K732" s="601">
        <v>1.77</v>
      </c>
      <c r="L732" s="601">
        <v>1.45</v>
      </c>
    </row>
    <row r="733" spans="1:12" hidden="1">
      <c r="A733" s="601" t="s">
        <v>1799</v>
      </c>
      <c r="B733" s="601" t="e">
        <f t="shared" si="11"/>
        <v>#VALUE!</v>
      </c>
      <c r="C733" s="601" t="e">
        <f>MID(Table3[[#This Row],[Statement Code]],FIND("- ",Table3[[#This Row],[Statement Code]])+2,100)</f>
        <v>#VALUE!</v>
      </c>
      <c r="D733" s="602" t="s">
        <v>1809</v>
      </c>
      <c r="E733" s="601" t="s">
        <v>1794</v>
      </c>
      <c r="F733" s="601" t="s">
        <v>717</v>
      </c>
      <c r="G733" s="601">
        <v>6.875</v>
      </c>
      <c r="H733" s="601">
        <v>7.0259999999999998</v>
      </c>
      <c r="I733" s="601">
        <v>6.9340000000000002</v>
      </c>
      <c r="J733" s="601">
        <v>3.7210000000000001</v>
      </c>
      <c r="K733" s="601">
        <v>6.133</v>
      </c>
      <c r="L733" s="601">
        <v>6.8719999999999999</v>
      </c>
    </row>
    <row r="734" spans="1:12">
      <c r="A734" s="601" t="s">
        <v>1810</v>
      </c>
      <c r="B734" s="601" t="str">
        <f t="shared" si="11"/>
        <v xml:space="preserve">ADIDAS </v>
      </c>
      <c r="C734" s="601" t="str">
        <f>MID(Table3[[#This Row],[Statement Code]],FIND("- ",Table3[[#This Row],[Statement Code]])+2,100)</f>
        <v>12MTH TRAILING EPS</v>
      </c>
      <c r="D734" s="602" t="s">
        <v>1811</v>
      </c>
      <c r="E734" s="601" t="s">
        <v>1794</v>
      </c>
      <c r="F734" s="601" t="s">
        <v>551</v>
      </c>
      <c r="G734" s="601">
        <v>10.321999999999999</v>
      </c>
      <c r="H734" s="601">
        <v>5.2149999999999999</v>
      </c>
      <c r="I734" s="601">
        <v>7.5060000000000002</v>
      </c>
      <c r="J734" s="601">
        <v>7.0490000000000004</v>
      </c>
      <c r="K734" s="601">
        <v>-0.90700000000000003</v>
      </c>
      <c r="L734" s="601">
        <v>2.3210000000000002</v>
      </c>
    </row>
    <row r="735" spans="1:12" hidden="1">
      <c r="A735" s="601" t="s">
        <v>1812</v>
      </c>
      <c r="B735" s="601" t="str">
        <f t="shared" si="11"/>
        <v xml:space="preserve">ADIDAS </v>
      </c>
      <c r="C735" s="601" t="str">
        <f>MID(Table3[[#This Row],[Statement Code]],FIND("- ",Table3[[#This Row],[Statement Code]])+2,100)</f>
        <v>DIV.PER SHR.</v>
      </c>
      <c r="D735" s="602" t="s">
        <v>1813</v>
      </c>
      <c r="E735" s="601" t="s">
        <v>1794</v>
      </c>
      <c r="F735" s="601" t="s">
        <v>551</v>
      </c>
      <c r="G735" s="601">
        <v>3.7</v>
      </c>
      <c r="H735" s="601">
        <v>0</v>
      </c>
      <c r="I735" s="601">
        <v>3.52</v>
      </c>
      <c r="J735" s="601">
        <v>3.31</v>
      </c>
      <c r="K735" s="601">
        <v>0.75</v>
      </c>
      <c r="L735" s="601">
        <v>0.78</v>
      </c>
    </row>
    <row r="736" spans="1:12" hidden="1">
      <c r="A736" s="601" t="s">
        <v>1799</v>
      </c>
      <c r="B736" s="601" t="e">
        <f t="shared" si="11"/>
        <v>#VALUE!</v>
      </c>
      <c r="C736" s="601" t="e">
        <f>MID(Table3[[#This Row],[Statement Code]],FIND("- ",Table3[[#This Row],[Statement Code]])+2,100)</f>
        <v>#VALUE!</v>
      </c>
      <c r="D736" s="602" t="s">
        <v>1814</v>
      </c>
      <c r="E736" s="601" t="s">
        <v>1794</v>
      </c>
      <c r="F736" s="601" t="s">
        <v>717</v>
      </c>
      <c r="G736" s="601">
        <v>1.6080000000000001</v>
      </c>
      <c r="H736" s="601">
        <v>1.181</v>
      </c>
      <c r="I736" s="601">
        <v>1.341</v>
      </c>
      <c r="J736" s="601">
        <v>2.4279999999999999</v>
      </c>
      <c r="K736" s="601">
        <v>0.83599999999999997</v>
      </c>
      <c r="L736" s="601">
        <v>1.1220000000000001</v>
      </c>
    </row>
    <row r="737" spans="1:12" hidden="1">
      <c r="A737" s="601" t="s">
        <v>1797</v>
      </c>
      <c r="B737" s="601" t="str">
        <f t="shared" si="11"/>
        <v xml:space="preserve">ADIDAS </v>
      </c>
      <c r="C737" s="601" t="str">
        <f>MID(Table3[[#This Row],[Statement Code]],FIND("- ",Table3[[#This Row],[Statement Code]])+2,100)</f>
        <v>12MTH FORWARD EPS</v>
      </c>
      <c r="D737" s="602" t="s">
        <v>1798</v>
      </c>
      <c r="E737" s="601" t="s">
        <v>1794</v>
      </c>
      <c r="F737" s="601" t="s">
        <v>551</v>
      </c>
      <c r="G737" s="601">
        <v>11.763</v>
      </c>
      <c r="H737" s="601">
        <v>8.4169999999999998</v>
      </c>
      <c r="I737" s="601">
        <v>11.326000000000001</v>
      </c>
      <c r="J737" s="601">
        <v>8.27</v>
      </c>
      <c r="K737" s="601">
        <v>2.9649999999999999</v>
      </c>
      <c r="L737" s="601">
        <v>6.6379999999999999</v>
      </c>
    </row>
    <row r="738" spans="1:12" hidden="1">
      <c r="A738" s="601" t="s">
        <v>1795</v>
      </c>
      <c r="B738" s="601" t="str">
        <f t="shared" si="11"/>
        <v xml:space="preserve">ADIDAS </v>
      </c>
      <c r="C738" s="601" t="str">
        <f>MID(Table3[[#This Row],[Statement Code]],FIND("- ",Table3[[#This Row],[Statement Code]])+2,100)</f>
        <v>PER</v>
      </c>
      <c r="D738" s="602" t="s">
        <v>1796</v>
      </c>
      <c r="E738" s="601" t="s">
        <v>1794</v>
      </c>
      <c r="F738" s="601" t="s">
        <v>717</v>
      </c>
      <c r="G738" s="601">
        <v>28.2</v>
      </c>
      <c r="H738" s="601">
        <v>100.5</v>
      </c>
      <c r="I738" s="601">
        <v>33.4</v>
      </c>
      <c r="J738" s="601">
        <v>13.3</v>
      </c>
      <c r="K738" s="601" t="s">
        <v>23</v>
      </c>
      <c r="L738" s="601">
        <v>164.6</v>
      </c>
    </row>
    <row r="739" spans="1:12" hidden="1">
      <c r="A739" s="601" t="s">
        <v>1792</v>
      </c>
      <c r="B739" s="601" t="str">
        <f t="shared" si="11"/>
        <v xml:space="preserve">ADIDAS </v>
      </c>
      <c r="C739" s="601" t="str">
        <f>MID(Table3[[#This Row],[Statement Code]],FIND("- ",Table3[[#This Row],[Statement Code]])+2,100)</f>
        <v>MARKET VALUE</v>
      </c>
      <c r="D739" s="602" t="s">
        <v>1793</v>
      </c>
      <c r="E739" s="601" t="s">
        <v>1794</v>
      </c>
      <c r="F739" s="601" t="s">
        <v>551</v>
      </c>
      <c r="G739" s="601">
        <v>60630.34</v>
      </c>
      <c r="H739" s="601">
        <v>66598.92</v>
      </c>
      <c r="I739" s="601">
        <v>66511.91</v>
      </c>
      <c r="J739" s="601">
        <v>25953.94</v>
      </c>
      <c r="K739" s="601">
        <v>32587.52</v>
      </c>
      <c r="L739" s="601">
        <v>44287.99</v>
      </c>
    </row>
    <row r="740" spans="1:12" hidden="1">
      <c r="A740" s="601" t="s">
        <v>1815</v>
      </c>
      <c r="B740" s="601" t="str">
        <f t="shared" si="11"/>
        <v xml:space="preserve">ADIDAS </v>
      </c>
      <c r="C740" s="601" t="str">
        <f>MID(Table3[[#This Row],[Statement Code]],FIND("- ",Table3[[#This Row],[Statement Code]])+2,100)</f>
        <v>EARNINGS PER SHR</v>
      </c>
      <c r="D740" s="602" t="s">
        <v>1816</v>
      </c>
      <c r="E740" s="601" t="s">
        <v>1794</v>
      </c>
      <c r="F740" s="601" t="s">
        <v>551</v>
      </c>
      <c r="G740" s="601">
        <v>10.72</v>
      </c>
      <c r="H740" s="601">
        <v>3.31</v>
      </c>
      <c r="I740" s="601">
        <v>9.93</v>
      </c>
      <c r="J740" s="601">
        <v>10.19</v>
      </c>
      <c r="K740" s="601">
        <v>0</v>
      </c>
      <c r="L740" s="601">
        <v>1.49</v>
      </c>
    </row>
    <row r="741" spans="1:12" hidden="1">
      <c r="A741" s="601" t="s">
        <v>1799</v>
      </c>
      <c r="B741" s="601" t="e">
        <f t="shared" si="11"/>
        <v>#VALUE!</v>
      </c>
      <c r="C741" s="601" t="e">
        <f>MID(Table3[[#This Row],[Statement Code]],FIND("- ",Table3[[#This Row],[Statement Code]])+2,100)</f>
        <v>#VALUE!</v>
      </c>
      <c r="D741" s="602" t="s">
        <v>1817</v>
      </c>
      <c r="E741" s="601" t="s">
        <v>1794</v>
      </c>
      <c r="F741" s="601" t="s">
        <v>23</v>
      </c>
      <c r="G741" s="601">
        <v>0.67500000000000004</v>
      </c>
      <c r="H741" s="601">
        <v>1.0009999999999999</v>
      </c>
      <c r="I741" s="601">
        <v>0.997</v>
      </c>
      <c r="J741" s="601">
        <v>1.054</v>
      </c>
      <c r="K741" s="601">
        <v>1.1279999999999999</v>
      </c>
      <c r="L741" s="601">
        <v>1.123</v>
      </c>
    </row>
    <row r="742" spans="1:12" hidden="1">
      <c r="A742" s="601" t="s">
        <v>1799</v>
      </c>
      <c r="B742" s="601" t="e">
        <f t="shared" si="11"/>
        <v>#VALUE!</v>
      </c>
      <c r="C742" s="601" t="e">
        <f>MID(Table3[[#This Row],[Statement Code]],FIND("- ",Table3[[#This Row],[Statement Code]])+2,100)</f>
        <v>#VALUE!</v>
      </c>
      <c r="D742" s="602" t="s">
        <v>1818</v>
      </c>
      <c r="E742" s="601" t="s">
        <v>1794</v>
      </c>
      <c r="F742" s="601" t="s">
        <v>23</v>
      </c>
      <c r="G742" s="601">
        <v>0.2467</v>
      </c>
      <c r="H742" s="601">
        <v>0.35699999999999998</v>
      </c>
      <c r="I742" s="601">
        <v>0.34420000000000001</v>
      </c>
      <c r="J742" s="601">
        <v>0.3553</v>
      </c>
      <c r="K742" s="601">
        <v>0.37309999999999999</v>
      </c>
      <c r="L742" s="601">
        <v>0.37759999999999999</v>
      </c>
    </row>
    <row r="743" spans="1:12" hidden="1">
      <c r="A743" s="601" t="s">
        <v>1819</v>
      </c>
      <c r="B743" s="601" t="str">
        <f t="shared" si="11"/>
        <v xml:space="preserve">ADIDAS </v>
      </c>
      <c r="C743" s="601" t="str">
        <f>MID(Table3[[#This Row],[Statement Code]],FIND("- ",Table3[[#This Row],[Statement Code]])+2,100)</f>
        <v>ACCOUNTS PAYABLE</v>
      </c>
      <c r="D743" s="602" t="s">
        <v>1820</v>
      </c>
      <c r="E743" s="601" t="s">
        <v>1794</v>
      </c>
      <c r="F743" s="601" t="s">
        <v>551</v>
      </c>
      <c r="G743" s="601">
        <v>2989281</v>
      </c>
      <c r="H743" s="601">
        <v>2834422</v>
      </c>
      <c r="I743" s="601">
        <v>2692511</v>
      </c>
      <c r="J743" s="601">
        <v>2916774</v>
      </c>
      <c r="K743" s="601">
        <v>2429833</v>
      </c>
      <c r="L743" s="601" t="s">
        <v>23</v>
      </c>
    </row>
    <row r="744" spans="1:12" hidden="1">
      <c r="A744" s="601" t="s">
        <v>1821</v>
      </c>
      <c r="B744" s="601" t="str">
        <f t="shared" si="11"/>
        <v xml:space="preserve">ADIDAS </v>
      </c>
      <c r="C744" s="601" t="str">
        <f>MID(Table3[[#This Row],[Statement Code]],FIND("- ",Table3[[#This Row],[Statement Code]])+2,100)</f>
        <v>AMORTIZATION OF DEFERRED CHARG</v>
      </c>
      <c r="D744" s="602" t="s">
        <v>1822</v>
      </c>
      <c r="E744" s="601" t="s">
        <v>1794</v>
      </c>
      <c r="F744" s="601" t="s">
        <v>551</v>
      </c>
      <c r="G744" s="601">
        <v>0</v>
      </c>
      <c r="H744" s="601">
        <v>0</v>
      </c>
      <c r="I744" s="601">
        <v>0</v>
      </c>
      <c r="J744" s="601">
        <v>0</v>
      </c>
      <c r="K744" s="601">
        <v>0</v>
      </c>
      <c r="L744" s="601" t="s">
        <v>23</v>
      </c>
    </row>
    <row r="745" spans="1:12" hidden="1">
      <c r="A745" s="601" t="s">
        <v>1823</v>
      </c>
      <c r="B745" s="601" t="str">
        <f t="shared" si="11"/>
        <v xml:space="preserve">ADIDAS </v>
      </c>
      <c r="C745" s="601" t="str">
        <f>MID(Table3[[#This Row],[Statement Code]],FIND("- ",Table3[[#This Row],[Statement Code]])+2,100)</f>
        <v>AMORTIZATION OF INTANGIBLES</v>
      </c>
      <c r="D745" s="602" t="s">
        <v>1824</v>
      </c>
      <c r="E745" s="601" t="s">
        <v>1794</v>
      </c>
      <c r="F745" s="601" t="s">
        <v>551</v>
      </c>
      <c r="G745" s="601">
        <v>86261</v>
      </c>
      <c r="H745" s="601">
        <v>123339</v>
      </c>
      <c r="I745" s="601">
        <v>112677</v>
      </c>
      <c r="J745" s="601">
        <v>102308</v>
      </c>
      <c r="K745" s="601">
        <v>119570</v>
      </c>
      <c r="L745" s="601" t="s">
        <v>23</v>
      </c>
    </row>
    <row r="746" spans="1:12" hidden="1">
      <c r="A746" s="601" t="s">
        <v>1825</v>
      </c>
      <c r="B746" s="601" t="str">
        <f t="shared" si="11"/>
        <v xml:space="preserve">ADIDAS </v>
      </c>
      <c r="C746" s="601" t="str">
        <f>MID(Table3[[#This Row],[Statement Code]],FIND("- ",Table3[[#This Row],[Statement Code]])+2,100)</f>
        <v>BOOK VALUE-OUT SHARES-FISCAL</v>
      </c>
      <c r="D746" s="602" t="s">
        <v>1826</v>
      </c>
      <c r="E746" s="601" t="s">
        <v>1794</v>
      </c>
      <c r="F746" s="601" t="s">
        <v>551</v>
      </c>
      <c r="G746" s="601">
        <v>38.356999999999999</v>
      </c>
      <c r="H746" s="601">
        <v>39.238999999999997</v>
      </c>
      <c r="I746" s="601">
        <v>46.061999999999998</v>
      </c>
      <c r="J746" s="601">
        <v>28.039000000000001</v>
      </c>
      <c r="K746" s="601">
        <v>27.385000000000002</v>
      </c>
      <c r="L746" s="601" t="s">
        <v>23</v>
      </c>
    </row>
    <row r="747" spans="1:12" hidden="1">
      <c r="A747" s="601" t="s">
        <v>1827</v>
      </c>
      <c r="B747" s="601" t="str">
        <f t="shared" si="11"/>
        <v xml:space="preserve">ADIDAS </v>
      </c>
      <c r="C747" s="601" t="str">
        <f>MID(Table3[[#This Row],[Statement Code]],FIND("- ",Table3[[#This Row],[Statement Code]])+2,100)</f>
        <v>BOOK VALUE PER SHARE</v>
      </c>
      <c r="D747" s="602" t="s">
        <v>1828</v>
      </c>
      <c r="E747" s="601" t="s">
        <v>1794</v>
      </c>
      <c r="F747" s="601" t="s">
        <v>551</v>
      </c>
      <c r="G747" s="601">
        <v>38.356999999999999</v>
      </c>
      <c r="H747" s="601">
        <v>39.238999999999997</v>
      </c>
      <c r="I747" s="601">
        <v>46.061999999999998</v>
      </c>
      <c r="J747" s="601">
        <v>28.039000000000001</v>
      </c>
      <c r="K747" s="601">
        <v>27.385000000000002</v>
      </c>
      <c r="L747" s="601" t="s">
        <v>23</v>
      </c>
    </row>
    <row r="748" spans="1:12">
      <c r="A748" s="601" t="s">
        <v>1829</v>
      </c>
      <c r="B748" s="601" t="str">
        <f t="shared" si="11"/>
        <v xml:space="preserve">ADIDAS </v>
      </c>
      <c r="C748" s="601" t="str">
        <f>MID(Table3[[#This Row],[Statement Code]],FIND("- ",Table3[[#This Row],[Statement Code]])+2,100)</f>
        <v>CAPITAL EXPENDITURES</v>
      </c>
      <c r="D748" s="602" t="s">
        <v>1830</v>
      </c>
      <c r="E748" s="601" t="s">
        <v>1794</v>
      </c>
      <c r="F748" s="601" t="s">
        <v>551</v>
      </c>
      <c r="G748" s="601">
        <v>661336</v>
      </c>
      <c r="H748" s="601">
        <v>449475</v>
      </c>
      <c r="I748" s="601">
        <v>579817</v>
      </c>
      <c r="J748" s="601">
        <v>505521</v>
      </c>
      <c r="K748" s="601">
        <v>387535</v>
      </c>
      <c r="L748" s="601" t="s">
        <v>23</v>
      </c>
    </row>
    <row r="749" spans="1:12" hidden="1">
      <c r="A749" s="601" t="s">
        <v>1831</v>
      </c>
      <c r="B749" s="601" t="str">
        <f t="shared" si="11"/>
        <v xml:space="preserve">ADIDAS </v>
      </c>
      <c r="C749" s="601" t="str">
        <f>MID(Table3[[#This Row],[Statement Code]],FIND("- ",Table3[[#This Row],[Statement Code]])+2,100)</f>
        <v>CASH</v>
      </c>
      <c r="D749" s="602" t="s">
        <v>1832</v>
      </c>
      <c r="E749" s="601" t="s">
        <v>1794</v>
      </c>
      <c r="F749" s="601" t="s">
        <v>551</v>
      </c>
      <c r="G749" s="601">
        <v>2455126</v>
      </c>
      <c r="H749" s="601">
        <v>4736687</v>
      </c>
      <c r="I749" s="601">
        <v>4492996</v>
      </c>
      <c r="J749" s="601">
        <v>800408</v>
      </c>
      <c r="K749" s="601">
        <v>1527720</v>
      </c>
      <c r="L749" s="601" t="s">
        <v>23</v>
      </c>
    </row>
    <row r="750" spans="1:12" hidden="1">
      <c r="A750" s="601" t="s">
        <v>1833</v>
      </c>
      <c r="B750" s="601" t="str">
        <f t="shared" si="11"/>
        <v xml:space="preserve">ADIDAS </v>
      </c>
      <c r="C750" s="601" t="str">
        <f>MID(Table3[[#This Row],[Statement Code]],FIND("- ",Table3[[#This Row],[Statement Code]])+2,100)</f>
        <v>CASH - GENERIC</v>
      </c>
      <c r="D750" s="602" t="s">
        <v>1834</v>
      </c>
      <c r="E750" s="601" t="s">
        <v>1794</v>
      </c>
      <c r="F750" s="601" t="s">
        <v>551</v>
      </c>
      <c r="G750" s="601">
        <v>3159592</v>
      </c>
      <c r="H750" s="601">
        <v>5290526</v>
      </c>
      <c r="I750" s="601">
        <v>5044644</v>
      </c>
      <c r="J750" s="601">
        <v>1536622</v>
      </c>
      <c r="K750" s="601">
        <v>2007068</v>
      </c>
      <c r="L750" s="601" t="s">
        <v>23</v>
      </c>
    </row>
    <row r="751" spans="1:12">
      <c r="A751" s="601" t="s">
        <v>1835</v>
      </c>
      <c r="B751" s="601" t="str">
        <f t="shared" si="11"/>
        <v xml:space="preserve">ADIDAS </v>
      </c>
      <c r="C751" s="601" t="str">
        <f>MID(Table3[[#This Row],[Statement Code]],FIND("- ",Table3[[#This Row],[Statement Code]])+2,100)</f>
        <v>CASH &amp; SHORT TERM INVESTMENTS</v>
      </c>
      <c r="D751" s="602" t="s">
        <v>1836</v>
      </c>
      <c r="E751" s="601" t="s">
        <v>1794</v>
      </c>
      <c r="F751" s="601" t="s">
        <v>551</v>
      </c>
      <c r="G751" s="601">
        <v>3159592</v>
      </c>
      <c r="H751" s="601">
        <v>5290526</v>
      </c>
      <c r="I751" s="601">
        <v>5044644</v>
      </c>
      <c r="J751" s="601">
        <v>1536622</v>
      </c>
      <c r="K751" s="601">
        <v>2007068</v>
      </c>
      <c r="L751" s="601" t="s">
        <v>23</v>
      </c>
    </row>
    <row r="752" spans="1:12" hidden="1">
      <c r="A752" s="601" t="s">
        <v>1837</v>
      </c>
      <c r="B752" s="601" t="str">
        <f t="shared" si="11"/>
        <v xml:space="preserve">ADIDAS </v>
      </c>
      <c r="C752" s="601" t="str">
        <f>MID(Table3[[#This Row],[Statement Code]],FIND("- ",Table3[[#This Row],[Statement Code]])+2,100)</f>
        <v>CASH DIVIDENDS PAID - TOTAL</v>
      </c>
      <c r="D752" s="602" t="s">
        <v>1838</v>
      </c>
      <c r="E752" s="601" t="s">
        <v>1794</v>
      </c>
      <c r="F752" s="601" t="s">
        <v>551</v>
      </c>
      <c r="G752" s="601">
        <v>734326</v>
      </c>
      <c r="H752" s="601">
        <v>0</v>
      </c>
      <c r="I752" s="601">
        <v>686626</v>
      </c>
      <c r="J752" s="601">
        <v>611840</v>
      </c>
      <c r="K752" s="601">
        <v>133449</v>
      </c>
      <c r="L752" s="601" t="s">
        <v>23</v>
      </c>
    </row>
    <row r="753" spans="1:12" hidden="1">
      <c r="A753" s="601" t="s">
        <v>1839</v>
      </c>
      <c r="B753" s="601" t="str">
        <f t="shared" si="11"/>
        <v xml:space="preserve">ADIDAS </v>
      </c>
      <c r="C753" s="601" t="str">
        <f>MID(Table3[[#This Row],[Statement Code]],FIND("- ",Table3[[#This Row],[Statement Code]])+2,100)</f>
        <v>CASH FLOW PER SHARE</v>
      </c>
      <c r="D753" s="602" t="s">
        <v>1840</v>
      </c>
      <c r="E753" s="601" t="s">
        <v>1794</v>
      </c>
      <c r="F753" s="601" t="s">
        <v>551</v>
      </c>
      <c r="G753" s="601">
        <v>16.565999999999999</v>
      </c>
      <c r="H753" s="601">
        <v>9.7409999999999997</v>
      </c>
      <c r="I753" s="601">
        <v>17.614000000000001</v>
      </c>
      <c r="J753" s="601">
        <v>7.3280000000000003</v>
      </c>
      <c r="K753" s="601">
        <v>5.9790000000000001</v>
      </c>
      <c r="L753" s="601" t="s">
        <v>23</v>
      </c>
    </row>
    <row r="754" spans="1:12" hidden="1">
      <c r="A754" s="601" t="s">
        <v>1841</v>
      </c>
      <c r="B754" s="601" t="str">
        <f t="shared" si="11"/>
        <v xml:space="preserve">ADIDAS </v>
      </c>
      <c r="C754" s="601" t="str">
        <f>MID(Table3[[#This Row],[Statement Code]],FIND("- ",Table3[[#This Row],[Statement Code]])+2,100)</f>
        <v>CASH FLOW PER SHARE - FIS YR</v>
      </c>
      <c r="D754" s="602" t="s">
        <v>1842</v>
      </c>
      <c r="E754" s="601" t="s">
        <v>1794</v>
      </c>
      <c r="F754" s="601" t="s">
        <v>551</v>
      </c>
      <c r="G754" s="601">
        <v>16.565999999999999</v>
      </c>
      <c r="H754" s="601">
        <v>9.7409999999999997</v>
      </c>
      <c r="I754" s="601">
        <v>17.614000000000001</v>
      </c>
      <c r="J754" s="601">
        <v>7.3280000000000003</v>
      </c>
      <c r="K754" s="601">
        <v>5.9790000000000001</v>
      </c>
      <c r="L754" s="601" t="s">
        <v>23</v>
      </c>
    </row>
    <row r="755" spans="1:12" hidden="1">
      <c r="A755" s="601" t="s">
        <v>1843</v>
      </c>
      <c r="B755" s="601" t="str">
        <f t="shared" si="11"/>
        <v xml:space="preserve">ADIDAS </v>
      </c>
      <c r="C755" s="601" t="str">
        <f>MID(Table3[[#This Row],[Statement Code]],FIND("- ",Table3[[#This Row],[Statement Code]])+2,100)</f>
        <v>COMMON DIVIDENDS (CASH)</v>
      </c>
      <c r="D755" s="602" t="s">
        <v>1844</v>
      </c>
      <c r="E755" s="601" t="s">
        <v>1794</v>
      </c>
      <c r="F755" s="601" t="s">
        <v>551</v>
      </c>
      <c r="G755" s="601">
        <v>734326</v>
      </c>
      <c r="H755" s="601">
        <v>0</v>
      </c>
      <c r="I755" s="601">
        <v>686626</v>
      </c>
      <c r="J755" s="601">
        <v>611840</v>
      </c>
      <c r="K755" s="601">
        <v>133449</v>
      </c>
      <c r="L755" s="601" t="s">
        <v>23</v>
      </c>
    </row>
    <row r="756" spans="1:12" hidden="1">
      <c r="A756" s="601" t="s">
        <v>1845</v>
      </c>
      <c r="B756" s="601" t="str">
        <f t="shared" si="11"/>
        <v xml:space="preserve">ADIDAS </v>
      </c>
      <c r="C756" s="601" t="str">
        <f>MID(Table3[[#This Row],[Statement Code]],FIND("- ",Table3[[#This Row],[Statement Code]])+2,100)</f>
        <v>COMMON SHAREHOLDERS' EQUITY</v>
      </c>
      <c r="D756" s="602" t="s">
        <v>1846</v>
      </c>
      <c r="E756" s="601" t="s">
        <v>1794</v>
      </c>
      <c r="F756" s="601" t="s">
        <v>551</v>
      </c>
      <c r="G756" s="601">
        <v>7516887</v>
      </c>
      <c r="H756" s="601">
        <v>7654126</v>
      </c>
      <c r="I756" s="601">
        <v>8825192</v>
      </c>
      <c r="J756" s="601">
        <v>5006058</v>
      </c>
      <c r="K756" s="601">
        <v>4889559</v>
      </c>
      <c r="L756" s="601" t="s">
        <v>23</v>
      </c>
    </row>
    <row r="757" spans="1:12">
      <c r="A757" s="601" t="s">
        <v>1847</v>
      </c>
      <c r="B757" s="601" t="str">
        <f t="shared" si="11"/>
        <v xml:space="preserve">ADIDAS </v>
      </c>
      <c r="C757" s="601" t="str">
        <f>MID(Table3[[#This Row],[Statement Code]],FIND("- ",Table3[[#This Row],[Statement Code]])+2,100)</f>
        <v>COMMON STOCK</v>
      </c>
      <c r="D757" s="602" t="s">
        <v>1848</v>
      </c>
      <c r="E757" s="601" t="s">
        <v>1794</v>
      </c>
      <c r="F757" s="601" t="s">
        <v>551</v>
      </c>
      <c r="G757" s="601">
        <v>216759</v>
      </c>
      <c r="H757" s="601">
        <v>231260</v>
      </c>
      <c r="I757" s="601">
        <v>225354</v>
      </c>
      <c r="J757" s="601">
        <v>179540</v>
      </c>
      <c r="K757" s="601">
        <v>191098</v>
      </c>
      <c r="L757" s="601" t="s">
        <v>23</v>
      </c>
    </row>
    <row r="758" spans="1:12" hidden="1">
      <c r="A758" s="601" t="s">
        <v>1849</v>
      </c>
      <c r="B758" s="601" t="str">
        <f t="shared" si="11"/>
        <v xml:space="preserve">ADIDAS </v>
      </c>
      <c r="C758" s="601" t="str">
        <f>MID(Table3[[#This Row],[Statement Code]],FIND("- ",Table3[[#This Row],[Statement Code]])+2,100)</f>
        <v>COST OF GOODS SOLD (EXCL DEP)</v>
      </c>
      <c r="D758" s="602" t="s">
        <v>1850</v>
      </c>
      <c r="E758" s="601" t="s">
        <v>1794</v>
      </c>
      <c r="F758" s="601" t="s">
        <v>551</v>
      </c>
      <c r="G758" s="601">
        <v>11247130</v>
      </c>
      <c r="H758" s="601">
        <v>10231196</v>
      </c>
      <c r="I758" s="601">
        <v>10978966</v>
      </c>
      <c r="J758" s="601">
        <v>10527668</v>
      </c>
      <c r="K758" s="601">
        <v>10752759</v>
      </c>
      <c r="L758" s="601" t="s">
        <v>23</v>
      </c>
    </row>
    <row r="759" spans="1:12">
      <c r="A759" s="601" t="s">
        <v>1851</v>
      </c>
      <c r="B759" s="601" t="str">
        <f t="shared" si="11"/>
        <v xml:space="preserve">ADIDAS </v>
      </c>
      <c r="C759" s="601" t="str">
        <f>MID(Table3[[#This Row],[Statement Code]],FIND("- ",Table3[[#This Row],[Statement Code]])+2,100)</f>
        <v>CURRENT ASSETS - TOTAL</v>
      </c>
      <c r="D759" s="602" t="s">
        <v>1852</v>
      </c>
      <c r="E759" s="601" t="s">
        <v>1794</v>
      </c>
      <c r="F759" s="601" t="s">
        <v>551</v>
      </c>
      <c r="G759" s="601">
        <v>12092047</v>
      </c>
      <c r="H759" s="601">
        <v>14414044</v>
      </c>
      <c r="I759" s="601">
        <v>16366336</v>
      </c>
      <c r="J759" s="601">
        <v>11767397</v>
      </c>
      <c r="K759" s="601">
        <v>10471983</v>
      </c>
      <c r="L759" s="601" t="s">
        <v>23</v>
      </c>
    </row>
    <row r="760" spans="1:12">
      <c r="A760" s="601" t="s">
        <v>1853</v>
      </c>
      <c r="B760" s="601" t="str">
        <f t="shared" si="11"/>
        <v xml:space="preserve">ADIDAS </v>
      </c>
      <c r="C760" s="601" t="str">
        <f>MID(Table3[[#This Row],[Statement Code]],FIND("- ",Table3[[#This Row],[Statement Code]])+2,100)</f>
        <v>CURRENT LIABILITIES-TOTAL</v>
      </c>
      <c r="D760" s="602" t="s">
        <v>1854</v>
      </c>
      <c r="E760" s="601" t="s">
        <v>1794</v>
      </c>
      <c r="F760" s="601" t="s">
        <v>551</v>
      </c>
      <c r="G760" s="601">
        <v>9681158</v>
      </c>
      <c r="H760" s="601">
        <v>10468386</v>
      </c>
      <c r="I760" s="601">
        <v>10522390</v>
      </c>
      <c r="J760" s="601">
        <v>9284929</v>
      </c>
      <c r="K760" s="601">
        <v>8586621</v>
      </c>
      <c r="L760" s="601" t="s">
        <v>23</v>
      </c>
    </row>
    <row r="761" spans="1:12" hidden="1">
      <c r="A761" s="601" t="s">
        <v>1855</v>
      </c>
      <c r="B761" s="601" t="str">
        <f t="shared" si="11"/>
        <v xml:space="preserve">ADIDAS </v>
      </c>
      <c r="C761" s="601" t="str">
        <f>MID(Table3[[#This Row],[Statement Code]],FIND("- ",Table3[[#This Row],[Statement Code]])+2,100)</f>
        <v>DEFERRED TAXES</v>
      </c>
      <c r="D761" s="602" t="s">
        <v>1856</v>
      </c>
      <c r="E761" s="601" t="s">
        <v>1794</v>
      </c>
      <c r="F761" s="601" t="s">
        <v>551</v>
      </c>
      <c r="G761" s="601">
        <v>-899107</v>
      </c>
      <c r="H761" s="601">
        <v>-1176463</v>
      </c>
      <c r="I761" s="601">
        <v>-1339213</v>
      </c>
      <c r="J761" s="601">
        <v>-1084262</v>
      </c>
      <c r="K761" s="601">
        <v>-1292851</v>
      </c>
      <c r="L761" s="601" t="s">
        <v>23</v>
      </c>
    </row>
    <row r="762" spans="1:12" hidden="1">
      <c r="A762" s="601" t="s">
        <v>1857</v>
      </c>
      <c r="B762" s="601" t="str">
        <f t="shared" si="11"/>
        <v xml:space="preserve">ADIDAS </v>
      </c>
      <c r="C762" s="601" t="str">
        <f>MID(Table3[[#This Row],[Statement Code]],FIND("- ",Table3[[#This Row],[Statement Code]])+2,100)</f>
        <v>DEPRECIATION AND DEPLETION</v>
      </c>
      <c r="D762" s="602" t="s">
        <v>1858</v>
      </c>
      <c r="E762" s="601" t="s">
        <v>1794</v>
      </c>
      <c r="F762" s="601" t="s">
        <v>551</v>
      </c>
      <c r="G762" s="601">
        <v>1342578</v>
      </c>
      <c r="H762" s="601">
        <v>1624752</v>
      </c>
      <c r="I762" s="601">
        <v>1348603</v>
      </c>
      <c r="J762" s="601">
        <v>1379149</v>
      </c>
      <c r="K762" s="601">
        <v>1293918</v>
      </c>
      <c r="L762" s="601" t="s">
        <v>23</v>
      </c>
    </row>
    <row r="763" spans="1:12">
      <c r="A763" s="601" t="s">
        <v>1859</v>
      </c>
      <c r="B763" s="601" t="str">
        <f t="shared" si="11"/>
        <v xml:space="preserve">ADIDAS </v>
      </c>
      <c r="C763" s="601" t="str">
        <f>MID(Table3[[#This Row],[Statement Code]],FIND("- ",Table3[[#This Row],[Statement Code]])+2,100)</f>
        <v>DEPRECIATION/DEPLETION/AMORT</v>
      </c>
      <c r="D763" s="602" t="s">
        <v>1860</v>
      </c>
      <c r="E763" s="601" t="s">
        <v>1794</v>
      </c>
      <c r="F763" s="601" t="s">
        <v>551</v>
      </c>
      <c r="G763" s="601">
        <v>1283964</v>
      </c>
      <c r="H763" s="601">
        <v>1475323</v>
      </c>
      <c r="I763" s="601">
        <v>1340387</v>
      </c>
      <c r="J763" s="601">
        <v>1224684</v>
      </c>
      <c r="K763" s="601">
        <v>1170078</v>
      </c>
      <c r="L763" s="601" t="s">
        <v>23</v>
      </c>
    </row>
    <row r="764" spans="1:12" hidden="1">
      <c r="A764" s="601" t="s">
        <v>1861</v>
      </c>
      <c r="B764" s="601" t="str">
        <f t="shared" si="11"/>
        <v xml:space="preserve">ADIDAS </v>
      </c>
      <c r="C764" s="601" t="str">
        <f>MID(Table3[[#This Row],[Statement Code]],FIND("- ",Table3[[#This Row],[Statement Code]])+2,100)</f>
        <v>DIVIDENDS PER SHARE</v>
      </c>
      <c r="D764" s="602" t="s">
        <v>1862</v>
      </c>
      <c r="E764" s="601" t="s">
        <v>1794</v>
      </c>
      <c r="F764" s="601" t="s">
        <v>551</v>
      </c>
      <c r="G764" s="601">
        <v>0</v>
      </c>
      <c r="H764" s="601">
        <v>3.5579999999999998</v>
      </c>
      <c r="I764" s="601">
        <v>3.8730000000000002</v>
      </c>
      <c r="J764" s="601">
        <v>0.70199999999999996</v>
      </c>
      <c r="K764" s="601">
        <v>0.747</v>
      </c>
      <c r="L764" s="601" t="s">
        <v>23</v>
      </c>
    </row>
    <row r="765" spans="1:12" hidden="1">
      <c r="A765" s="601" t="s">
        <v>1863</v>
      </c>
      <c r="B765" s="601" t="str">
        <f t="shared" si="11"/>
        <v xml:space="preserve">ADIDAS </v>
      </c>
      <c r="C765" s="601" t="str">
        <f>MID(Table3[[#This Row],[Statement Code]],FIND("- ",Table3[[#This Row],[Statement Code]])+2,100)</f>
        <v>DIVIDENDS PER SHARE - FISCAL</v>
      </c>
      <c r="D765" s="602" t="s">
        <v>1864</v>
      </c>
      <c r="E765" s="601" t="s">
        <v>1794</v>
      </c>
      <c r="F765" s="601" t="s">
        <v>551</v>
      </c>
      <c r="G765" s="601">
        <v>0</v>
      </c>
      <c r="H765" s="601">
        <v>3.5579999999999998</v>
      </c>
      <c r="I765" s="601">
        <v>3.8730000000000002</v>
      </c>
      <c r="J765" s="601">
        <v>0.70199999999999996</v>
      </c>
      <c r="K765" s="601">
        <v>0.747</v>
      </c>
      <c r="L765" s="601" t="s">
        <v>23</v>
      </c>
    </row>
    <row r="766" spans="1:12">
      <c r="A766" s="601" t="s">
        <v>1865</v>
      </c>
      <c r="B766" s="601" t="str">
        <f t="shared" si="11"/>
        <v xml:space="preserve">ADIDAS </v>
      </c>
      <c r="C766" s="601" t="str">
        <f>MID(Table3[[#This Row],[Statement Code]],FIND("- ",Table3[[#This Row],[Statement Code]])+2,100)</f>
        <v>EARNINGS BEF INTEREST &amp; TAXES</v>
      </c>
      <c r="D766" s="602" t="s">
        <v>1866</v>
      </c>
      <c r="E766" s="601" t="s">
        <v>1794</v>
      </c>
      <c r="F766" s="601" t="s">
        <v>551</v>
      </c>
      <c r="G766" s="601">
        <v>3005870</v>
      </c>
      <c r="H766" s="601">
        <v>876418</v>
      </c>
      <c r="I766" s="601">
        <v>2301663</v>
      </c>
      <c r="J766" s="601">
        <v>514548</v>
      </c>
      <c r="K766" s="601">
        <v>237005</v>
      </c>
      <c r="L766" s="601" t="s">
        <v>23</v>
      </c>
    </row>
    <row r="767" spans="1:12" hidden="1">
      <c r="A767" s="601" t="s">
        <v>1867</v>
      </c>
      <c r="B767" s="601" t="str">
        <f t="shared" si="11"/>
        <v xml:space="preserve">ADIDAS </v>
      </c>
      <c r="C767" s="601" t="str">
        <f>MID(Table3[[#This Row],[Statement Code]],FIND("- ",Table3[[#This Row],[Statement Code]])+2,100)</f>
        <v>EBIT &amp; DEPRECIATION</v>
      </c>
      <c r="D767" s="602" t="s">
        <v>1868</v>
      </c>
      <c r="E767" s="601" t="s">
        <v>1794</v>
      </c>
      <c r="F767" s="601" t="s">
        <v>551</v>
      </c>
      <c r="G767" s="601">
        <v>4289835</v>
      </c>
      <c r="H767" s="601">
        <v>2351740</v>
      </c>
      <c r="I767" s="601">
        <v>3642050</v>
      </c>
      <c r="J767" s="601">
        <v>1739232</v>
      </c>
      <c r="K767" s="601">
        <v>1407083</v>
      </c>
      <c r="L767" s="601" t="s">
        <v>23</v>
      </c>
    </row>
    <row r="768" spans="1:12" hidden="1">
      <c r="A768" s="601" t="s">
        <v>1869</v>
      </c>
      <c r="B768" s="601" t="str">
        <f t="shared" si="11"/>
        <v xml:space="preserve">ADIDAS </v>
      </c>
      <c r="C768" s="601" t="str">
        <f>MID(Table3[[#This Row],[Statement Code]],FIND("- ",Table3[[#This Row],[Statement Code]])+2,100)</f>
        <v>EARNINGS PER SHARE</v>
      </c>
      <c r="D768" s="602" t="s">
        <v>1870</v>
      </c>
      <c r="E768" s="601" t="s">
        <v>1794</v>
      </c>
      <c r="F768" s="601" t="s">
        <v>551</v>
      </c>
      <c r="G768" s="601">
        <v>11.058999999999999</v>
      </c>
      <c r="H768" s="601">
        <v>2.625</v>
      </c>
      <c r="I768" s="601">
        <v>12.791</v>
      </c>
      <c r="J768" s="601">
        <v>3.35</v>
      </c>
      <c r="K768" s="601">
        <v>-0.44800000000000001</v>
      </c>
      <c r="L768" s="601" t="s">
        <v>23</v>
      </c>
    </row>
    <row r="769" spans="1:12" hidden="1">
      <c r="A769" s="601" t="s">
        <v>1871</v>
      </c>
      <c r="B769" s="601" t="str">
        <f t="shared" si="11"/>
        <v xml:space="preserve">ADIDAS </v>
      </c>
      <c r="C769" s="601" t="str">
        <f>MID(Table3[[#This Row],[Statement Code]],FIND("- ",Table3[[#This Row],[Statement Code]])+2,100)</f>
        <v>FISCAL EPS-FULLY DILUTED-YR</v>
      </c>
      <c r="D769" s="602" t="s">
        <v>1872</v>
      </c>
      <c r="E769" s="601" t="s">
        <v>1794</v>
      </c>
      <c r="F769" s="601" t="s">
        <v>551</v>
      </c>
      <c r="G769" s="601">
        <v>11.058</v>
      </c>
      <c r="H769" s="601">
        <v>2.625</v>
      </c>
      <c r="I769" s="601">
        <v>12.79</v>
      </c>
      <c r="J769" s="601">
        <v>3.3490000000000002</v>
      </c>
      <c r="K769" s="601">
        <v>-0.44800000000000001</v>
      </c>
      <c r="L769" s="601" t="s">
        <v>23</v>
      </c>
    </row>
    <row r="770" spans="1:12" hidden="1">
      <c r="A770" s="601" t="s">
        <v>1873</v>
      </c>
      <c r="B770" s="601" t="str">
        <f t="shared" si="11"/>
        <v xml:space="preserve">ADIDAS </v>
      </c>
      <c r="C770" s="601" t="str">
        <f>MID(Table3[[#This Row],[Statement Code]],FIND("- ",Table3[[#This Row],[Statement Code]])+2,100)</f>
        <v>ENTERPRISE VALUE</v>
      </c>
      <c r="D770" s="602" t="s">
        <v>1874</v>
      </c>
      <c r="E770" s="601" t="s">
        <v>1794</v>
      </c>
      <c r="F770" s="601" t="s">
        <v>551</v>
      </c>
      <c r="G770" s="601">
        <v>65209809</v>
      </c>
      <c r="H770" s="601">
        <v>70891599</v>
      </c>
      <c r="I770" s="601">
        <v>58524929</v>
      </c>
      <c r="J770" s="601">
        <v>28127961</v>
      </c>
      <c r="K770" s="601">
        <v>39404293</v>
      </c>
      <c r="L770" s="601" t="s">
        <v>23</v>
      </c>
    </row>
    <row r="771" spans="1:12">
      <c r="A771" s="601" t="s">
        <v>1875</v>
      </c>
      <c r="B771" s="601" t="str">
        <f t="shared" ref="B771:B834" si="12">LEFT(A771,FIND(" ",A771))</f>
        <v xml:space="preserve">ADIDAS </v>
      </c>
      <c r="C771" s="601" t="str">
        <f>MID(Table3[[#This Row],[Statement Code]],FIND("- ",Table3[[#This Row],[Statement Code]])+2,100)</f>
        <v>GROSS INCOME</v>
      </c>
      <c r="D771" s="602" t="s">
        <v>1876</v>
      </c>
      <c r="E771" s="601" t="s">
        <v>1794</v>
      </c>
      <c r="F771" s="601" t="s">
        <v>551</v>
      </c>
      <c r="G771" s="601">
        <v>13612677</v>
      </c>
      <c r="H771" s="601">
        <v>11827486</v>
      </c>
      <c r="I771" s="601">
        <v>12603393</v>
      </c>
      <c r="J771" s="601">
        <v>10826567</v>
      </c>
      <c r="K771" s="601">
        <v>10952398</v>
      </c>
      <c r="L771" s="601" t="s">
        <v>23</v>
      </c>
    </row>
    <row r="772" spans="1:12" hidden="1">
      <c r="A772" s="601" t="s">
        <v>1877</v>
      </c>
      <c r="B772" s="601" t="str">
        <f t="shared" si="12"/>
        <v xml:space="preserve">ADIDAS </v>
      </c>
      <c r="C772" s="601" t="str">
        <f>MID(Table3[[#This Row],[Statement Code]],FIND("- ",Table3[[#This Row],[Statement Code]])+2,100)</f>
        <v>IMPAIRMENT- OTHER INTANGIBLES</v>
      </c>
      <c r="D772" s="602" t="s">
        <v>1878</v>
      </c>
      <c r="E772" s="601" t="s">
        <v>1794</v>
      </c>
      <c r="F772" s="601" t="s">
        <v>551</v>
      </c>
      <c r="G772" s="601">
        <v>6635</v>
      </c>
      <c r="H772" s="601">
        <v>48624</v>
      </c>
      <c r="I772" s="601" t="s">
        <v>23</v>
      </c>
      <c r="J772" s="601">
        <v>28084</v>
      </c>
      <c r="K772" s="601">
        <v>10676</v>
      </c>
      <c r="L772" s="601" t="s">
        <v>23</v>
      </c>
    </row>
    <row r="773" spans="1:12">
      <c r="A773" s="601" t="s">
        <v>1879</v>
      </c>
      <c r="B773" s="601" t="str">
        <f t="shared" si="12"/>
        <v xml:space="preserve">ADIDAS </v>
      </c>
      <c r="C773" s="601" t="str">
        <f>MID(Table3[[#This Row],[Statement Code]],FIND("- ",Table3[[#This Row],[Statement Code]])+2,100)</f>
        <v>INCOME TAXES</v>
      </c>
      <c r="D773" s="602" t="s">
        <v>1880</v>
      </c>
      <c r="E773" s="601" t="s">
        <v>1794</v>
      </c>
      <c r="F773" s="601" t="s">
        <v>551</v>
      </c>
      <c r="G773" s="601">
        <v>707784</v>
      </c>
      <c r="H773" s="601">
        <v>173149</v>
      </c>
      <c r="I773" s="601">
        <v>422539</v>
      </c>
      <c r="J773" s="601">
        <v>134404</v>
      </c>
      <c r="K773" s="601">
        <v>132381</v>
      </c>
      <c r="L773" s="601" t="s">
        <v>23</v>
      </c>
    </row>
    <row r="774" spans="1:12" hidden="1">
      <c r="A774" s="601" t="s">
        <v>1881</v>
      </c>
      <c r="B774" s="601" t="str">
        <f t="shared" si="12"/>
        <v xml:space="preserve">ADIDAS </v>
      </c>
      <c r="C774" s="601" t="str">
        <f>MID(Table3[[#This Row],[Statement Code]],FIND("- ",Table3[[#This Row],[Statement Code]])+2,100)</f>
        <v>INCREASE/DECREASE IN CASH/SHOR</v>
      </c>
      <c r="D774" s="602" t="s">
        <v>1882</v>
      </c>
      <c r="E774" s="601" t="s">
        <v>1794</v>
      </c>
      <c r="F774" s="601" t="s">
        <v>551</v>
      </c>
      <c r="G774" s="601">
        <v>-453424</v>
      </c>
      <c r="H774" s="601">
        <v>2103876</v>
      </c>
      <c r="I774" s="601">
        <v>-193664</v>
      </c>
      <c r="J774" s="601">
        <v>-3040145</v>
      </c>
      <c r="K774" s="601">
        <v>675784</v>
      </c>
      <c r="L774" s="601" t="s">
        <v>23</v>
      </c>
    </row>
    <row r="775" spans="1:12">
      <c r="A775" s="601" t="s">
        <v>1883</v>
      </c>
      <c r="B775" s="601" t="str">
        <f t="shared" si="12"/>
        <v xml:space="preserve">ADIDAS </v>
      </c>
      <c r="C775" s="601" t="str">
        <f>MID(Table3[[#This Row],[Statement Code]],FIND("- ",Table3[[#This Row],[Statement Code]])+2,100)</f>
        <v>INTEREST EXPENSE ON DEBT</v>
      </c>
      <c r="D775" s="602" t="s">
        <v>1884</v>
      </c>
      <c r="E775" s="601" t="s">
        <v>1794</v>
      </c>
      <c r="F775" s="601" t="s">
        <v>551</v>
      </c>
      <c r="G775" s="601">
        <v>176946</v>
      </c>
      <c r="H775" s="601">
        <v>194496</v>
      </c>
      <c r="I775" s="601">
        <v>127935</v>
      </c>
      <c r="J775" s="601">
        <v>125377</v>
      </c>
      <c r="K775" s="601">
        <v>167612</v>
      </c>
      <c r="L775" s="601" t="s">
        <v>23</v>
      </c>
    </row>
    <row r="776" spans="1:12" hidden="1">
      <c r="A776" s="601" t="s">
        <v>1885</v>
      </c>
      <c r="B776" s="601" t="str">
        <f t="shared" si="12"/>
        <v xml:space="preserve">ADIDAS </v>
      </c>
      <c r="C776" s="601" t="str">
        <f>MID(Table3[[#This Row],[Statement Code]],FIND("- ",Table3[[#This Row],[Statement Code]])+2,100)</f>
        <v>TOTAL INVENTORIES</v>
      </c>
      <c r="D776" s="602" t="s">
        <v>1886</v>
      </c>
      <c r="E776" s="601" t="s">
        <v>1794</v>
      </c>
      <c r="F776" s="601" t="s">
        <v>551</v>
      </c>
      <c r="G776" s="601">
        <v>4517653</v>
      </c>
      <c r="H776" s="601">
        <v>5214625</v>
      </c>
      <c r="I776" s="601">
        <v>4705439</v>
      </c>
      <c r="J776" s="601">
        <v>5991021</v>
      </c>
      <c r="K776" s="601">
        <v>4830842</v>
      </c>
      <c r="L776" s="601" t="s">
        <v>23</v>
      </c>
    </row>
    <row r="777" spans="1:12">
      <c r="A777" s="601" t="s">
        <v>1887</v>
      </c>
      <c r="B777" s="601" t="str">
        <f t="shared" si="12"/>
        <v xml:space="preserve">ADIDAS </v>
      </c>
      <c r="C777" s="601" t="str">
        <f>MID(Table3[[#This Row],[Statement Code]],FIND("- ",Table3[[#This Row],[Statement Code]])+2,100)</f>
        <v>LONG TERM DEBT</v>
      </c>
      <c r="D777" s="602" t="s">
        <v>1888</v>
      </c>
      <c r="E777" s="601" t="s">
        <v>1794</v>
      </c>
      <c r="F777" s="601" t="s">
        <v>551</v>
      </c>
      <c r="G777" s="601">
        <v>4417015</v>
      </c>
      <c r="H777" s="601">
        <v>5503997</v>
      </c>
      <c r="I777" s="601">
        <v>5550516</v>
      </c>
      <c r="J777" s="601">
        <v>5304958</v>
      </c>
      <c r="K777" s="601">
        <v>4771057</v>
      </c>
      <c r="L777" s="601" t="s">
        <v>23</v>
      </c>
    </row>
    <row r="778" spans="1:12" hidden="1">
      <c r="A778" s="601" t="s">
        <v>1889</v>
      </c>
      <c r="B778" s="601" t="str">
        <f t="shared" si="12"/>
        <v xml:space="preserve">ADIDAS </v>
      </c>
      <c r="C778" s="601" t="str">
        <f>MID(Table3[[#This Row],[Statement Code]],FIND("- ",Table3[[#This Row],[Statement Code]])+2,100)</f>
        <v>MARKET CAPITALIZATION</v>
      </c>
      <c r="D778" s="602" t="s">
        <v>1890</v>
      </c>
      <c r="E778" s="601" t="s">
        <v>1794</v>
      </c>
      <c r="F778" s="601" t="s">
        <v>551</v>
      </c>
      <c r="G778" s="601">
        <v>62806903</v>
      </c>
      <c r="H778" s="601">
        <v>68915805</v>
      </c>
      <c r="I778" s="601">
        <v>56939235</v>
      </c>
      <c r="J778" s="601">
        <v>22825010</v>
      </c>
      <c r="K778" s="601">
        <v>35104043</v>
      </c>
      <c r="L778" s="601" t="s">
        <v>23</v>
      </c>
    </row>
    <row r="779" spans="1:12" hidden="1">
      <c r="A779" s="601" t="s">
        <v>1891</v>
      </c>
      <c r="B779" s="601" t="str">
        <f t="shared" si="12"/>
        <v xml:space="preserve">ADIDAS </v>
      </c>
      <c r="C779" s="601" t="str">
        <f>MID(Table3[[#This Row],[Statement Code]],FIND("- ",Table3[[#This Row],[Statement Code]])+2,100)</f>
        <v>NET CASH FLOW - FINANCING</v>
      </c>
      <c r="D779" s="602" t="s">
        <v>1892</v>
      </c>
      <c r="E779" s="601" t="s">
        <v>1794</v>
      </c>
      <c r="F779" s="601" t="s">
        <v>551</v>
      </c>
      <c r="G779" s="601">
        <v>-2341217</v>
      </c>
      <c r="H779" s="601">
        <v>754265</v>
      </c>
      <c r="I779" s="601">
        <v>-3380310</v>
      </c>
      <c r="J779" s="601">
        <v>-2831517</v>
      </c>
      <c r="K779" s="601">
        <v>-1347298</v>
      </c>
      <c r="L779" s="601" t="s">
        <v>23</v>
      </c>
    </row>
    <row r="780" spans="1:12" hidden="1">
      <c r="A780" s="601" t="s">
        <v>1893</v>
      </c>
      <c r="B780" s="601" t="str">
        <f t="shared" si="12"/>
        <v xml:space="preserve">ADIDAS </v>
      </c>
      <c r="C780" s="601" t="str">
        <f>MID(Table3[[#This Row],[Statement Code]],FIND("- ",Table3[[#This Row],[Statement Code]])+2,100)</f>
        <v>NET CASH FLOW - INVESTING</v>
      </c>
      <c r="D780" s="602" t="s">
        <v>1894</v>
      </c>
      <c r="E780" s="601" t="s">
        <v>1794</v>
      </c>
      <c r="F780" s="601" t="s">
        <v>551</v>
      </c>
      <c r="G780" s="601">
        <v>1078265</v>
      </c>
      <c r="H780" s="601">
        <v>166033</v>
      </c>
      <c r="I780" s="601">
        <v>512915</v>
      </c>
      <c r="J780" s="601">
        <v>-473424</v>
      </c>
      <c r="K780" s="601">
        <v>522051</v>
      </c>
      <c r="L780" s="601" t="s">
        <v>23</v>
      </c>
    </row>
    <row r="781" spans="1:12" hidden="1">
      <c r="A781" s="601" t="s">
        <v>1895</v>
      </c>
      <c r="B781" s="601" t="str">
        <f t="shared" si="12"/>
        <v xml:space="preserve">ADIDAS </v>
      </c>
      <c r="C781" s="601" t="str">
        <f>MID(Table3[[#This Row],[Statement Code]],FIND("- ",Table3[[#This Row],[Statement Code]])+2,100)</f>
        <v>NET CASH FLOW-OPERATING ACTIVS</v>
      </c>
      <c r="D781" s="602" t="s">
        <v>1896</v>
      </c>
      <c r="E781" s="601" t="s">
        <v>1794</v>
      </c>
      <c r="F781" s="601" t="s">
        <v>551</v>
      </c>
      <c r="G781" s="601">
        <v>2999235</v>
      </c>
      <c r="H781" s="601">
        <v>1604591</v>
      </c>
      <c r="I781" s="601">
        <v>3632660</v>
      </c>
      <c r="J781" s="601">
        <v>-662994</v>
      </c>
      <c r="K781" s="601">
        <v>2587836</v>
      </c>
      <c r="L781" s="601" t="s">
        <v>23</v>
      </c>
    </row>
    <row r="782" spans="1:12" hidden="1">
      <c r="A782" s="601" t="s">
        <v>1897</v>
      </c>
      <c r="B782" s="601" t="str">
        <f t="shared" si="12"/>
        <v xml:space="preserve">ADIDAS </v>
      </c>
      <c r="C782" s="601" t="str">
        <f>MID(Table3[[#This Row],[Statement Code]],FIND("- ",Table3[[#This Row],[Statement Code]])+2,100)</f>
        <v>NET DEBT</v>
      </c>
      <c r="D782" s="602" t="s">
        <v>1898</v>
      </c>
      <c r="E782" s="601" t="s">
        <v>1794</v>
      </c>
      <c r="F782" s="601" t="s">
        <v>551</v>
      </c>
      <c r="G782" s="601">
        <v>2115611</v>
      </c>
      <c r="H782" s="601">
        <v>1694723</v>
      </c>
      <c r="I782" s="601">
        <v>1212452</v>
      </c>
      <c r="J782" s="601">
        <v>4941865</v>
      </c>
      <c r="K782" s="601">
        <v>3931931</v>
      </c>
      <c r="L782" s="601" t="s">
        <v>23</v>
      </c>
    </row>
    <row r="783" spans="1:12">
      <c r="A783" s="601" t="s">
        <v>1899</v>
      </c>
      <c r="B783" s="601" t="str">
        <f t="shared" si="12"/>
        <v xml:space="preserve">ADIDAS </v>
      </c>
      <c r="C783" s="601" t="str">
        <f>MID(Table3[[#This Row],[Statement Code]],FIND("- ",Table3[[#This Row],[Statement Code]])+2,100)</f>
        <v>NET INCOME - DILUTED</v>
      </c>
      <c r="D783" s="602" t="s">
        <v>1900</v>
      </c>
      <c r="E783" s="601" t="s">
        <v>1794</v>
      </c>
      <c r="F783" s="601" t="s">
        <v>551</v>
      </c>
      <c r="G783" s="601">
        <v>2185283</v>
      </c>
      <c r="H783" s="601">
        <v>512331</v>
      </c>
      <c r="I783" s="601">
        <v>2483589</v>
      </c>
      <c r="J783" s="601">
        <v>613846</v>
      </c>
      <c r="K783" s="601">
        <v>-80069</v>
      </c>
      <c r="L783" s="601" t="s">
        <v>23</v>
      </c>
    </row>
    <row r="784" spans="1:12">
      <c r="A784" s="601" t="s">
        <v>1901</v>
      </c>
      <c r="B784" s="601" t="str">
        <f t="shared" si="12"/>
        <v xml:space="preserve">ADIDAS </v>
      </c>
      <c r="C784" s="601" t="str">
        <f>MID(Table3[[#This Row],[Statement Code]],FIND("- ",Table3[[#This Row],[Statement Code]])+2,100)</f>
        <v>NET SALES OR REVENUES</v>
      </c>
      <c r="D784" s="602" t="s">
        <v>1902</v>
      </c>
      <c r="E784" s="601" t="s">
        <v>1794</v>
      </c>
      <c r="F784" s="601" t="s">
        <v>551</v>
      </c>
      <c r="G784" s="601">
        <v>26143771</v>
      </c>
      <c r="H784" s="601">
        <v>23534005</v>
      </c>
      <c r="I784" s="601">
        <v>24922746</v>
      </c>
      <c r="J784" s="601">
        <v>22578918</v>
      </c>
      <c r="K784" s="601">
        <v>22875236</v>
      </c>
      <c r="L784" s="601" t="s">
        <v>23</v>
      </c>
    </row>
    <row r="785" spans="1:12" hidden="1">
      <c r="A785" s="601" t="s">
        <v>1903</v>
      </c>
      <c r="B785" s="601" t="str">
        <f t="shared" si="12"/>
        <v xml:space="preserve">ADIDAS </v>
      </c>
      <c r="C785" s="601" t="str">
        <f>MID(Table3[[#This Row],[Statement Code]],FIND("- ",Table3[[#This Row],[Statement Code]])+2,100)</f>
        <v>NON-OPERATING INTEREST INCOME</v>
      </c>
      <c r="D785" s="602" t="s">
        <v>1904</v>
      </c>
      <c r="E785" s="601" t="s">
        <v>1794</v>
      </c>
      <c r="F785" s="601" t="s">
        <v>551</v>
      </c>
      <c r="G785" s="601">
        <v>55296</v>
      </c>
      <c r="H785" s="601">
        <v>29649</v>
      </c>
      <c r="I785" s="601">
        <v>14085</v>
      </c>
      <c r="J785" s="601">
        <v>23069</v>
      </c>
      <c r="K785" s="601">
        <v>41636</v>
      </c>
      <c r="L785" s="601" t="s">
        <v>23</v>
      </c>
    </row>
    <row r="786" spans="1:12" hidden="1">
      <c r="A786" s="601" t="s">
        <v>1905</v>
      </c>
      <c r="B786" s="601" t="str">
        <f t="shared" si="12"/>
        <v xml:space="preserve">ADIDAS </v>
      </c>
      <c r="C786" s="601" t="str">
        <f>MID(Table3[[#This Row],[Statement Code]],FIND("- ",Table3[[#This Row],[Statement Code]])+2,100)</f>
        <v>OPERATING EXPENSES - TOTAL</v>
      </c>
      <c r="D786" s="602" t="s">
        <v>1906</v>
      </c>
      <c r="E786" s="601" t="s">
        <v>1794</v>
      </c>
      <c r="F786" s="601" t="s">
        <v>551</v>
      </c>
      <c r="G786" s="601">
        <v>23406638</v>
      </c>
      <c r="H786" s="601">
        <v>22629124</v>
      </c>
      <c r="I786" s="601">
        <v>22740803</v>
      </c>
      <c r="J786" s="601">
        <v>22036286</v>
      </c>
      <c r="K786" s="601">
        <v>22664920</v>
      </c>
      <c r="L786" s="601" t="s">
        <v>23</v>
      </c>
    </row>
    <row r="787" spans="1:12">
      <c r="A787" s="601" t="s">
        <v>1907</v>
      </c>
      <c r="B787" s="601" t="str">
        <f t="shared" si="12"/>
        <v xml:space="preserve">ADIDAS </v>
      </c>
      <c r="C787" s="601" t="str">
        <f>MID(Table3[[#This Row],[Statement Code]],FIND("- ",Table3[[#This Row],[Statement Code]])+2,100)</f>
        <v>OPERATING INCOME</v>
      </c>
      <c r="D787" s="602" t="s">
        <v>1908</v>
      </c>
      <c r="E787" s="601" t="s">
        <v>1794</v>
      </c>
      <c r="F787" s="601" t="s">
        <v>551</v>
      </c>
      <c r="G787" s="601">
        <v>2737133</v>
      </c>
      <c r="H787" s="601">
        <v>904880</v>
      </c>
      <c r="I787" s="601">
        <v>2181943</v>
      </c>
      <c r="J787" s="601">
        <v>542632</v>
      </c>
      <c r="K787" s="601">
        <v>210315</v>
      </c>
      <c r="L787" s="601" t="s">
        <v>23</v>
      </c>
    </row>
    <row r="788" spans="1:12" hidden="1">
      <c r="A788" s="601" t="s">
        <v>1909</v>
      </c>
      <c r="B788" s="601" t="str">
        <f t="shared" si="12"/>
        <v xml:space="preserve">ADIDAS </v>
      </c>
      <c r="C788" s="601" t="str">
        <f>MID(Table3[[#This Row],[Statement Code]],FIND("- ",Table3[[#This Row],[Statement Code]])+2,100)</f>
        <v>PRETAX INCOME</v>
      </c>
      <c r="D788" s="602" t="s">
        <v>1910</v>
      </c>
      <c r="E788" s="601" t="s">
        <v>1794</v>
      </c>
      <c r="F788" s="601" t="s">
        <v>551</v>
      </c>
      <c r="G788" s="601">
        <v>2828924</v>
      </c>
      <c r="H788" s="601">
        <v>681922</v>
      </c>
      <c r="I788" s="601">
        <v>2173727</v>
      </c>
      <c r="J788" s="601">
        <v>389171</v>
      </c>
      <c r="K788" s="601">
        <v>69393</v>
      </c>
      <c r="L788" s="601" t="s">
        <v>23</v>
      </c>
    </row>
    <row r="789" spans="1:12" hidden="1">
      <c r="A789" s="601" t="s">
        <v>1911</v>
      </c>
      <c r="B789" s="601" t="str">
        <f t="shared" si="12"/>
        <v xml:space="preserve">ADIDAS </v>
      </c>
      <c r="C789" s="601" t="str">
        <f>MID(Table3[[#This Row],[Statement Code]],FIND("- ",Table3[[#This Row],[Statement Code]])+2,100)</f>
        <v>PROPERTY, PLANT &amp; EQUIP - NET</v>
      </c>
      <c r="D789" s="602" t="s">
        <v>1912</v>
      </c>
      <c r="E789" s="601" t="s">
        <v>1794</v>
      </c>
      <c r="F789" s="601" t="s">
        <v>551</v>
      </c>
      <c r="G789" s="601">
        <v>5873501</v>
      </c>
      <c r="H789" s="601">
        <v>5439956</v>
      </c>
      <c r="I789" s="601">
        <v>5663193</v>
      </c>
      <c r="J789" s="601">
        <v>4958917</v>
      </c>
      <c r="K789" s="601">
        <v>4701663</v>
      </c>
      <c r="L789" s="601" t="s">
        <v>23</v>
      </c>
    </row>
    <row r="790" spans="1:12" hidden="1">
      <c r="A790" s="601" t="s">
        <v>1913</v>
      </c>
      <c r="B790" s="601" t="str">
        <f t="shared" si="12"/>
        <v xml:space="preserve">ADIDAS </v>
      </c>
      <c r="C790" s="601" t="str">
        <f>MID(Table3[[#This Row],[Statement Code]],FIND("- ",Table3[[#This Row],[Statement Code]])+2,100)</f>
        <v>RECEIVABLES(NET)</v>
      </c>
      <c r="D790" s="602" t="s">
        <v>1914</v>
      </c>
      <c r="E790" s="601" t="s">
        <v>1794</v>
      </c>
      <c r="F790" s="601" t="s">
        <v>551</v>
      </c>
      <c r="G790" s="601">
        <v>3625181</v>
      </c>
      <c r="H790" s="601">
        <v>3217484</v>
      </c>
      <c r="I790" s="601">
        <v>3504725</v>
      </c>
      <c r="J790" s="601">
        <v>3568735</v>
      </c>
      <c r="K790" s="601">
        <v>2973236</v>
      </c>
      <c r="L790" s="601" t="s">
        <v>23</v>
      </c>
    </row>
    <row r="791" spans="1:12" hidden="1">
      <c r="A791" s="601" t="s">
        <v>1915</v>
      </c>
      <c r="B791" s="601" t="str">
        <f t="shared" si="12"/>
        <v xml:space="preserve">ADIDAS </v>
      </c>
      <c r="C791" s="601" t="str">
        <f>MID(Table3[[#This Row],[Statement Code]],FIND("- ",Table3[[#This Row],[Statement Code]])+2,100)</f>
        <v>RESEARCH &amp; DEVELOPMENT</v>
      </c>
      <c r="D791" s="602" t="s">
        <v>1916</v>
      </c>
      <c r="E791" s="601" t="s">
        <v>1794</v>
      </c>
      <c r="F791" s="601" t="s">
        <v>551</v>
      </c>
      <c r="G791" s="601">
        <v>168099</v>
      </c>
      <c r="H791" s="601">
        <v>154174</v>
      </c>
      <c r="I791" s="601">
        <v>152583</v>
      </c>
      <c r="J791" s="601">
        <v>153462</v>
      </c>
      <c r="K791" s="601">
        <v>161206</v>
      </c>
      <c r="L791" s="601" t="s">
        <v>23</v>
      </c>
    </row>
    <row r="792" spans="1:12">
      <c r="A792" s="601" t="s">
        <v>1917</v>
      </c>
      <c r="B792" s="601" t="str">
        <f t="shared" si="12"/>
        <v xml:space="preserve">ADIDAS </v>
      </c>
      <c r="C792" s="601" t="str">
        <f>MID(Table3[[#This Row],[Statement Code]],FIND("- ",Table3[[#This Row],[Statement Code]])+2,100)</f>
        <v>SELLING, GENERAL &amp; ADMINISTRAT</v>
      </c>
      <c r="D792" s="602" t="s">
        <v>1918</v>
      </c>
      <c r="E792" s="601" t="s">
        <v>1794</v>
      </c>
      <c r="F792" s="601" t="s">
        <v>551</v>
      </c>
      <c r="G792" s="601">
        <v>10737304</v>
      </c>
      <c r="H792" s="601">
        <v>10804010</v>
      </c>
      <c r="I792" s="601">
        <v>10347505</v>
      </c>
      <c r="J792" s="601">
        <v>10108407</v>
      </c>
      <c r="K792" s="601">
        <v>10604364</v>
      </c>
      <c r="L792" s="601" t="s">
        <v>23</v>
      </c>
    </row>
    <row r="793" spans="1:12" hidden="1">
      <c r="A793" s="601" t="s">
        <v>1919</v>
      </c>
      <c r="B793" s="601" t="str">
        <f t="shared" si="12"/>
        <v xml:space="preserve">ADIDAS </v>
      </c>
      <c r="C793" s="601" t="str">
        <f>MID(Table3[[#This Row],[Statement Code]],FIND("- ",Table3[[#This Row],[Statement Code]])+2,100)</f>
        <v>SHORT TERM DEBT &amp; CURRENT PORT</v>
      </c>
      <c r="D793" s="602" t="s">
        <v>1920</v>
      </c>
      <c r="E793" s="601" t="s">
        <v>1794</v>
      </c>
      <c r="F793" s="601" t="s">
        <v>551</v>
      </c>
      <c r="G793" s="601">
        <v>858188</v>
      </c>
      <c r="H793" s="601">
        <v>1481252</v>
      </c>
      <c r="I793" s="601">
        <v>706579</v>
      </c>
      <c r="J793" s="601">
        <v>1173530</v>
      </c>
      <c r="K793" s="601">
        <v>1167943</v>
      </c>
      <c r="L793" s="601" t="s">
        <v>23</v>
      </c>
    </row>
    <row r="794" spans="1:12">
      <c r="A794" s="601" t="s">
        <v>1921</v>
      </c>
      <c r="B794" s="601" t="str">
        <f t="shared" si="12"/>
        <v xml:space="preserve">ADIDAS </v>
      </c>
      <c r="C794" s="601" t="str">
        <f>MID(Table3[[#This Row],[Statement Code]],FIND("- ",Table3[[#This Row],[Statement Code]])+2,100)</f>
        <v>TOTAL ASSETS</v>
      </c>
      <c r="D794" s="602" t="s">
        <v>1922</v>
      </c>
      <c r="E794" s="601" t="s">
        <v>1794</v>
      </c>
      <c r="F794" s="601" t="s">
        <v>551</v>
      </c>
      <c r="G794" s="601">
        <v>21661508</v>
      </c>
      <c r="H794" s="601">
        <v>23505542</v>
      </c>
      <c r="I794" s="601">
        <v>24500207</v>
      </c>
      <c r="J794" s="601">
        <v>19137567</v>
      </c>
      <c r="K794" s="601">
        <v>17788173</v>
      </c>
      <c r="L794" s="601" t="s">
        <v>23</v>
      </c>
    </row>
    <row r="795" spans="1:12" hidden="1">
      <c r="A795" s="601" t="s">
        <v>1923</v>
      </c>
      <c r="B795" s="601" t="str">
        <f t="shared" si="12"/>
        <v xml:space="preserve">ADIDAS </v>
      </c>
      <c r="C795" s="601" t="str">
        <f>MID(Table3[[#This Row],[Statement Code]],FIND("- ",Table3[[#This Row],[Statement Code]])+2,100)</f>
        <v>TOTAL CAPITAL</v>
      </c>
      <c r="D795" s="602" t="s">
        <v>1924</v>
      </c>
      <c r="E795" s="601" t="s">
        <v>1794</v>
      </c>
      <c r="F795" s="601" t="s">
        <v>551</v>
      </c>
      <c r="G795" s="601">
        <v>12222545</v>
      </c>
      <c r="H795" s="601">
        <v>13439193</v>
      </c>
      <c r="I795" s="601">
        <v>14748951</v>
      </c>
      <c r="J795" s="601">
        <v>10672102</v>
      </c>
      <c r="K795" s="601">
        <v>10028934</v>
      </c>
      <c r="L795" s="601" t="s">
        <v>23</v>
      </c>
    </row>
    <row r="796" spans="1:12">
      <c r="A796" s="601" t="s">
        <v>1925</v>
      </c>
      <c r="B796" s="601" t="str">
        <f t="shared" si="12"/>
        <v xml:space="preserve">ADIDAS </v>
      </c>
      <c r="C796" s="601" t="str">
        <f>MID(Table3[[#This Row],[Statement Code]],FIND("- ",Table3[[#This Row],[Statement Code]])+2,100)</f>
        <v>TOTAL DEBT</v>
      </c>
      <c r="D796" s="602" t="s">
        <v>1926</v>
      </c>
      <c r="E796" s="601" t="s">
        <v>1794</v>
      </c>
      <c r="F796" s="601" t="s">
        <v>551</v>
      </c>
      <c r="G796" s="601">
        <v>5275203</v>
      </c>
      <c r="H796" s="601">
        <v>6985249</v>
      </c>
      <c r="I796" s="601">
        <v>6257095</v>
      </c>
      <c r="J796" s="601">
        <v>6478488</v>
      </c>
      <c r="K796" s="601">
        <v>5938999</v>
      </c>
      <c r="L796" s="601" t="s">
        <v>23</v>
      </c>
    </row>
    <row r="797" spans="1:12" hidden="1">
      <c r="A797" s="601" t="s">
        <v>1927</v>
      </c>
      <c r="B797" s="601" t="str">
        <f t="shared" si="12"/>
        <v xml:space="preserve">ADIDAS </v>
      </c>
      <c r="C797" s="601" t="str">
        <f>MID(Table3[[#This Row],[Statement Code]],FIND("- ",Table3[[#This Row],[Statement Code]])+2,100)</f>
        <v>TOTAL INTANGIBLE OT ASSETS-NET</v>
      </c>
      <c r="D797" s="602" t="s">
        <v>1928</v>
      </c>
      <c r="E797" s="601" t="s">
        <v>1794</v>
      </c>
      <c r="F797" s="601" t="s">
        <v>551</v>
      </c>
      <c r="G797" s="601">
        <v>2677414</v>
      </c>
      <c r="H797" s="601">
        <v>2620951</v>
      </c>
      <c r="I797" s="601">
        <v>1854476</v>
      </c>
      <c r="J797" s="601">
        <v>1694096</v>
      </c>
      <c r="K797" s="601">
        <v>1793550</v>
      </c>
      <c r="L797" s="601" t="s">
        <v>23</v>
      </c>
    </row>
    <row r="798" spans="1:12">
      <c r="A798" s="601" t="s">
        <v>1929</v>
      </c>
      <c r="B798" s="601" t="str">
        <f t="shared" si="12"/>
        <v xml:space="preserve">ADIDAS </v>
      </c>
      <c r="C798" s="601" t="str">
        <f>MID(Table3[[#This Row],[Statement Code]],FIND("- ",Table3[[#This Row],[Statement Code]])+2,100)</f>
        <v>TOTAL LIABILITIES</v>
      </c>
      <c r="D798" s="602" t="s">
        <v>1930</v>
      </c>
      <c r="E798" s="601" t="s">
        <v>1794</v>
      </c>
      <c r="F798" s="601" t="s">
        <v>551</v>
      </c>
      <c r="G798" s="601">
        <v>13855978</v>
      </c>
      <c r="H798" s="601">
        <v>15570346</v>
      </c>
      <c r="I798" s="601">
        <v>15301773</v>
      </c>
      <c r="J798" s="601">
        <v>13770422</v>
      </c>
      <c r="K798" s="601">
        <v>12530295</v>
      </c>
      <c r="L798" s="601" t="s">
        <v>23</v>
      </c>
    </row>
    <row r="799" spans="1:12" hidden="1">
      <c r="A799" s="601" t="s">
        <v>1931</v>
      </c>
      <c r="B799" s="601" t="str">
        <f t="shared" si="12"/>
        <v xml:space="preserve">ADIDAS </v>
      </c>
      <c r="C799" s="601" t="str">
        <f>MID(Table3[[#This Row],[Statement Code]],FIND("- ",Table3[[#This Row],[Statement Code]])+2,100)</f>
        <v>TOTAL LIABILITIES &amp; SHAREHOLDE</v>
      </c>
      <c r="D799" s="602" t="s">
        <v>1932</v>
      </c>
      <c r="E799" s="601" t="s">
        <v>1794</v>
      </c>
      <c r="F799" s="601" t="s">
        <v>551</v>
      </c>
      <c r="G799" s="601">
        <v>21661508</v>
      </c>
      <c r="H799" s="601">
        <v>23505542</v>
      </c>
      <c r="I799" s="601">
        <v>24500207</v>
      </c>
      <c r="J799" s="601">
        <v>19137567</v>
      </c>
      <c r="K799" s="601">
        <v>17788173</v>
      </c>
      <c r="L799" s="601" t="s">
        <v>23</v>
      </c>
    </row>
    <row r="800" spans="1:12" hidden="1">
      <c r="A800" s="601" t="s">
        <v>1933</v>
      </c>
      <c r="B800" s="601" t="str">
        <f t="shared" si="12"/>
        <v xml:space="preserve">ADIDAS </v>
      </c>
      <c r="C800" s="601" t="str">
        <f>MID(Table3[[#This Row],[Statement Code]],FIND("- ",Table3[[#This Row],[Statement Code]])+2,100)</f>
        <v>TOTAL SHAREHOLDERS EQUITY</v>
      </c>
      <c r="D800" s="602" t="s">
        <v>1934</v>
      </c>
      <c r="E800" s="601" t="s">
        <v>1794</v>
      </c>
      <c r="F800" s="601" t="s">
        <v>551</v>
      </c>
      <c r="G800" s="601">
        <v>7516887</v>
      </c>
      <c r="H800" s="601">
        <v>7654126</v>
      </c>
      <c r="I800" s="601">
        <v>8825192</v>
      </c>
      <c r="J800" s="601">
        <v>5006058</v>
      </c>
      <c r="K800" s="601">
        <v>4889559</v>
      </c>
      <c r="L800" s="601" t="s">
        <v>23</v>
      </c>
    </row>
    <row r="801" spans="1:12" hidden="1">
      <c r="A801" s="601" t="s">
        <v>1935</v>
      </c>
      <c r="B801" s="601" t="str">
        <f t="shared" si="12"/>
        <v xml:space="preserve">ADIDAS </v>
      </c>
      <c r="C801" s="601" t="str">
        <f>MID(Table3[[#This Row],[Statement Code]],FIND("- ",Table3[[#This Row],[Statement Code]])+2,100)</f>
        <v>WORKING CAPITAL</v>
      </c>
      <c r="D801" s="602" t="s">
        <v>1936</v>
      </c>
      <c r="E801" s="601" t="s">
        <v>1794</v>
      </c>
      <c r="F801" s="601" t="s">
        <v>551</v>
      </c>
      <c r="G801" s="601">
        <v>2410889</v>
      </c>
      <c r="H801" s="601">
        <v>3945658</v>
      </c>
      <c r="I801" s="601">
        <v>5843946</v>
      </c>
      <c r="J801" s="601">
        <v>2482467</v>
      </c>
      <c r="K801" s="601">
        <v>1885363</v>
      </c>
      <c r="L801" s="601" t="s">
        <v>23</v>
      </c>
    </row>
    <row r="802" spans="1:12" hidden="1">
      <c r="A802" s="601" t="s">
        <v>1937</v>
      </c>
      <c r="B802" s="601" t="str">
        <f t="shared" si="12"/>
        <v xml:space="preserve">ADIDAS </v>
      </c>
      <c r="C802" s="601" t="str">
        <f>MID(Table3[[#This Row],[Statement Code]],FIND("- ",Table3[[#This Row],[Statement Code]])+2,100)</f>
        <v>BK VAL PS 12M FWD</v>
      </c>
      <c r="D802" s="602" t="s">
        <v>1938</v>
      </c>
      <c r="E802" s="601" t="s">
        <v>1794</v>
      </c>
      <c r="F802" s="601" t="s">
        <v>551</v>
      </c>
      <c r="G802" s="601">
        <v>44</v>
      </c>
      <c r="H802" s="601">
        <v>47.3</v>
      </c>
      <c r="I802" s="601">
        <v>47.86</v>
      </c>
      <c r="J802" s="601">
        <v>36.31</v>
      </c>
      <c r="K802" s="601">
        <v>29.52</v>
      </c>
      <c r="L802" s="601">
        <v>35.81</v>
      </c>
    </row>
    <row r="803" spans="1:12" hidden="1">
      <c r="A803" s="601" t="s">
        <v>1939</v>
      </c>
      <c r="B803" s="601" t="str">
        <f t="shared" si="12"/>
        <v xml:space="preserve">ADIDAS </v>
      </c>
      <c r="C803" s="601" t="str">
        <f>MID(Table3[[#This Row],[Statement Code]],FIND("- ",Table3[[#This Row],[Statement Code]])+2,100)</f>
        <v>EV 12M FWD</v>
      </c>
      <c r="D803" s="602" t="s">
        <v>1940</v>
      </c>
      <c r="E803" s="601" t="s">
        <v>1794</v>
      </c>
      <c r="F803" s="601" t="s">
        <v>551</v>
      </c>
      <c r="G803" s="601">
        <v>57134306.200000003</v>
      </c>
      <c r="H803" s="601">
        <v>57069824.149999999</v>
      </c>
      <c r="I803" s="601">
        <v>68403921.909999996</v>
      </c>
      <c r="J803" s="601">
        <v>28159681.5</v>
      </c>
      <c r="K803" s="601">
        <v>37086582.719999999</v>
      </c>
      <c r="L803" s="601">
        <v>47102266.630000003</v>
      </c>
    </row>
    <row r="804" spans="1:12" hidden="1">
      <c r="A804" s="601" t="s">
        <v>1941</v>
      </c>
      <c r="B804" s="601" t="str">
        <f t="shared" si="12"/>
        <v xml:space="preserve">ADIDAS </v>
      </c>
      <c r="C804" s="601" t="str">
        <f>MID(Table3[[#This Row],[Statement Code]],FIND("- ",Table3[[#This Row],[Statement Code]])+2,100)</f>
        <v>NET INCOME 12M FWD</v>
      </c>
      <c r="D804" s="602" t="s">
        <v>1942</v>
      </c>
      <c r="E804" s="601" t="s">
        <v>1794</v>
      </c>
      <c r="F804" s="601" t="s">
        <v>551</v>
      </c>
      <c r="G804" s="601">
        <v>2310110.7599999998</v>
      </c>
      <c r="H804" s="601">
        <v>1633513.02</v>
      </c>
      <c r="I804" s="601">
        <v>2194527.9700000002</v>
      </c>
      <c r="J804" s="601">
        <v>1525712.41</v>
      </c>
      <c r="K804" s="601">
        <v>546231.92000000004</v>
      </c>
      <c r="L804" s="601">
        <v>1194063.54</v>
      </c>
    </row>
    <row r="805" spans="1:12" hidden="1">
      <c r="A805" s="601" t="s">
        <v>1943</v>
      </c>
      <c r="B805" s="601" t="str">
        <f t="shared" si="12"/>
        <v xml:space="preserve">ADIDAS </v>
      </c>
      <c r="C805" s="601" t="str">
        <f>MID(Table3[[#This Row],[Statement Code]],FIND("- ",Table3[[#This Row],[Statement Code]])+2,100)</f>
        <v>PRETAX PRF 12M FWD</v>
      </c>
      <c r="D805" s="602" t="s">
        <v>1944</v>
      </c>
      <c r="E805" s="601" t="s">
        <v>1794</v>
      </c>
      <c r="F805" s="601" t="s">
        <v>551</v>
      </c>
      <c r="G805" s="601">
        <v>3175594.56</v>
      </c>
      <c r="H805" s="601">
        <v>2229652.46</v>
      </c>
      <c r="I805" s="601">
        <v>2909179.56</v>
      </c>
      <c r="J805" s="601">
        <v>1931192.11</v>
      </c>
      <c r="K805" s="601">
        <v>748486.98</v>
      </c>
      <c r="L805" s="601">
        <v>1627157.26</v>
      </c>
    </row>
    <row r="806" spans="1:12" hidden="1">
      <c r="A806" s="601" t="s">
        <v>1945</v>
      </c>
      <c r="B806" s="601" t="str">
        <f t="shared" si="12"/>
        <v xml:space="preserve">ADIDAS </v>
      </c>
      <c r="C806" s="601" t="str">
        <f>MID(Table3[[#This Row],[Statement Code]],FIND("- ",Table3[[#This Row],[Statement Code]])+2,100)</f>
        <v>ROE 12M FWD</v>
      </c>
      <c r="D806" s="602" t="s">
        <v>1946</v>
      </c>
      <c r="E806" s="601" t="s">
        <v>1794</v>
      </c>
      <c r="F806" s="601" t="s">
        <v>551</v>
      </c>
      <c r="G806" s="601">
        <v>31.35</v>
      </c>
      <c r="H806" s="601">
        <v>21.86</v>
      </c>
      <c r="I806" s="601">
        <v>28.95</v>
      </c>
      <c r="J806" s="601">
        <v>22.71</v>
      </c>
      <c r="K806" s="601">
        <v>11.65</v>
      </c>
      <c r="L806" s="601">
        <v>21.85</v>
      </c>
    </row>
    <row r="807" spans="1:12" hidden="1">
      <c r="A807" s="601" t="s">
        <v>1947</v>
      </c>
      <c r="B807" s="601" t="str">
        <f t="shared" si="12"/>
        <v xml:space="preserve">ADIDAS </v>
      </c>
      <c r="C807" s="601" t="str">
        <f>MID(Table3[[#This Row],[Statement Code]],FIND("- ",Table3[[#This Row],[Statement Code]])+2,100)</f>
        <v>SALES 12M FWD</v>
      </c>
      <c r="D807" s="602" t="s">
        <v>1948</v>
      </c>
      <c r="E807" s="601" t="s">
        <v>1794</v>
      </c>
      <c r="F807" s="601" t="s">
        <v>551</v>
      </c>
      <c r="G807" s="601">
        <v>27274155.600000001</v>
      </c>
      <c r="H807" s="601">
        <v>26778025.789999999</v>
      </c>
      <c r="I807" s="601">
        <v>27514486.489999998</v>
      </c>
      <c r="J807" s="601">
        <v>25163532.960000001</v>
      </c>
      <c r="K807" s="601">
        <v>24474902.829999998</v>
      </c>
      <c r="L807" s="601">
        <v>27252548.18</v>
      </c>
    </row>
    <row r="808" spans="1:12" hidden="1">
      <c r="A808" s="601" t="s">
        <v>1949</v>
      </c>
      <c r="B808" s="601" t="str">
        <f t="shared" si="12"/>
        <v xml:space="preserve">ADIDAS </v>
      </c>
      <c r="C808" s="601" t="str">
        <f>MID(Table3[[#This Row],[Statement Code]],FIND("- ",Table3[[#This Row],[Statement Code]])+2,100)</f>
        <v>DECREASE/INCREASE RECEIVABLES</v>
      </c>
      <c r="D808" s="602" t="s">
        <v>1950</v>
      </c>
      <c r="E808" s="601" t="s">
        <v>1794</v>
      </c>
      <c r="F808" s="601" t="s">
        <v>551</v>
      </c>
      <c r="G808" s="601">
        <v>-767503</v>
      </c>
      <c r="H808" s="601">
        <v>467265</v>
      </c>
      <c r="I808" s="601">
        <v>-199532</v>
      </c>
      <c r="J808" s="601">
        <v>-822474</v>
      </c>
      <c r="K808" s="601">
        <v>1062251</v>
      </c>
      <c r="L808" s="601" t="s">
        <v>23</v>
      </c>
    </row>
    <row r="809" spans="1:12" hidden="1">
      <c r="A809" s="601" t="s">
        <v>1951</v>
      </c>
      <c r="B809" s="601" t="str">
        <f t="shared" si="12"/>
        <v xml:space="preserve">ADIDAS </v>
      </c>
      <c r="C809" s="601" t="str">
        <f>MID(Table3[[#This Row],[Statement Code]],FIND("- ",Table3[[#This Row],[Statement Code]])+2,100)</f>
        <v>DECREASE/INCREASE INVENTORIES</v>
      </c>
      <c r="D809" s="602" t="s">
        <v>1952</v>
      </c>
      <c r="E809" s="601" t="s">
        <v>1794</v>
      </c>
      <c r="F809" s="601" t="s">
        <v>551</v>
      </c>
      <c r="G809" s="601">
        <v>-558486</v>
      </c>
      <c r="H809" s="601">
        <v>-596533</v>
      </c>
      <c r="I809" s="601">
        <v>146715</v>
      </c>
      <c r="J809" s="601">
        <v>-1906736</v>
      </c>
      <c r="K809" s="601">
        <v>1384663</v>
      </c>
      <c r="L809" s="601" t="s">
        <v>23</v>
      </c>
    </row>
    <row r="810" spans="1:12" hidden="1">
      <c r="A810" s="601" t="s">
        <v>1953</v>
      </c>
      <c r="B810" s="601" t="str">
        <f t="shared" si="12"/>
        <v xml:space="preserve">ADIDAS </v>
      </c>
      <c r="C810" s="601" t="str">
        <f>MID(Table3[[#This Row],[Statement Code]],FIND("- ",Table3[[#This Row],[Statement Code]])+2,100)</f>
        <v>DECREASE IN INVESTMENTS</v>
      </c>
      <c r="D810" s="602" t="s">
        <v>1954</v>
      </c>
      <c r="E810" s="601" t="s">
        <v>1794</v>
      </c>
      <c r="F810" s="601" t="s">
        <v>551</v>
      </c>
      <c r="G810" s="601">
        <v>0</v>
      </c>
      <c r="H810" s="601">
        <v>342740</v>
      </c>
      <c r="I810" s="601">
        <v>57512</v>
      </c>
      <c r="J810" s="601">
        <v>0</v>
      </c>
      <c r="K810" s="601">
        <v>60853</v>
      </c>
      <c r="L810" s="601" t="s">
        <v>23</v>
      </c>
    </row>
    <row r="811" spans="1:12" hidden="1">
      <c r="A811" s="601" t="s">
        <v>1955</v>
      </c>
      <c r="B811" s="601" t="str">
        <f t="shared" si="12"/>
        <v xml:space="preserve">LULULEMON </v>
      </c>
      <c r="C811" s="601" t="str">
        <f>MID(Table3[[#This Row],[Statement Code]],FIND("- ",Table3[[#This Row],[Statement Code]])+2,100)</f>
        <v>MARKET VALUE</v>
      </c>
      <c r="D811" s="602" t="s">
        <v>1956</v>
      </c>
      <c r="E811" s="601" t="s">
        <v>1957</v>
      </c>
      <c r="F811" s="601" t="s">
        <v>551</v>
      </c>
      <c r="G811" s="601">
        <v>24056.79</v>
      </c>
      <c r="H811" s="601">
        <v>36821.660000000003</v>
      </c>
      <c r="I811" s="601">
        <v>53152.6</v>
      </c>
      <c r="J811" s="601">
        <v>40756.39</v>
      </c>
      <c r="K811" s="601">
        <v>46482.8</v>
      </c>
      <c r="L811" s="601">
        <v>31791.88</v>
      </c>
    </row>
    <row r="812" spans="1:12" hidden="1">
      <c r="A812" s="601" t="s">
        <v>1958</v>
      </c>
      <c r="B812" s="601" t="str">
        <f t="shared" si="12"/>
        <v xml:space="preserve">LULULEMON </v>
      </c>
      <c r="C812" s="601" t="str">
        <f>MID(Table3[[#This Row],[Statement Code]],FIND("- ",Table3[[#This Row],[Statement Code]])+2,100)</f>
        <v>PER</v>
      </c>
      <c r="D812" s="602" t="s">
        <v>1959</v>
      </c>
      <c r="E812" s="601" t="s">
        <v>1957</v>
      </c>
      <c r="F812" s="601" t="s">
        <v>551</v>
      </c>
      <c r="G812" s="601">
        <v>51.6</v>
      </c>
      <c r="H812" s="601">
        <v>72.3</v>
      </c>
      <c r="I812" s="601">
        <v>50.9</v>
      </c>
      <c r="J812" s="601">
        <v>31.3</v>
      </c>
      <c r="K812" s="601">
        <v>35.799999999999997</v>
      </c>
      <c r="L812" s="601">
        <v>16</v>
      </c>
    </row>
    <row r="813" spans="1:12" hidden="1">
      <c r="A813" s="601" t="s">
        <v>1960</v>
      </c>
      <c r="B813" s="601" t="str">
        <f t="shared" si="12"/>
        <v xml:space="preserve">LULULEMON </v>
      </c>
      <c r="C813" s="601" t="str">
        <f>MID(Table3[[#This Row],[Statement Code]],FIND("- ",Table3[[#This Row],[Statement Code]])+2,100)</f>
        <v>12MTH FORWARD EPS</v>
      </c>
      <c r="D813" s="602" t="s">
        <v>1961</v>
      </c>
      <c r="E813" s="601" t="s">
        <v>1957</v>
      </c>
      <c r="F813" s="601" t="s">
        <v>551</v>
      </c>
      <c r="G813" s="601">
        <v>5.1429999999999998</v>
      </c>
      <c r="H813" s="601">
        <v>5.6669999999999998</v>
      </c>
      <c r="I813" s="601">
        <v>8.4469999999999992</v>
      </c>
      <c r="J813" s="601">
        <v>10.903</v>
      </c>
      <c r="K813" s="601">
        <v>13.3</v>
      </c>
      <c r="L813" s="601">
        <v>14.504</v>
      </c>
    </row>
    <row r="814" spans="1:12" hidden="1">
      <c r="A814" s="601" t="s">
        <v>1962</v>
      </c>
      <c r="B814" s="601" t="str">
        <f t="shared" si="12"/>
        <v xml:space="preserve">LULULEMON </v>
      </c>
      <c r="C814" s="601" t="e">
        <f>MID(Table3[[#This Row],[Statement Code]],FIND("- ",Table3[[#This Row],[Statement Code]])+2,100)</f>
        <v>#VALUE!</v>
      </c>
      <c r="D814" s="602" t="s">
        <v>1963</v>
      </c>
      <c r="E814" s="601" t="s">
        <v>1957</v>
      </c>
      <c r="F814" s="601" t="s">
        <v>551</v>
      </c>
      <c r="G814" s="601">
        <v>2.944</v>
      </c>
      <c r="H814" s="601">
        <v>1.8280000000000001</v>
      </c>
      <c r="I814" s="601">
        <v>2.016</v>
      </c>
      <c r="J814" s="601">
        <v>3.18</v>
      </c>
      <c r="K814" s="601">
        <v>3.419</v>
      </c>
      <c r="L814" s="601">
        <v>5.3680000000000003</v>
      </c>
    </row>
    <row r="815" spans="1:12" hidden="1">
      <c r="A815" s="601" t="s">
        <v>1962</v>
      </c>
      <c r="B815" s="601" t="str">
        <f t="shared" si="12"/>
        <v xml:space="preserve">LULULEMON </v>
      </c>
      <c r="C815" s="601" t="e">
        <f>MID(Table3[[#This Row],[Statement Code]],FIND("- ",Table3[[#This Row],[Statement Code]])+2,100)</f>
        <v>#VALUE!</v>
      </c>
      <c r="D815" s="602" t="s">
        <v>1964</v>
      </c>
      <c r="E815" s="601" t="s">
        <v>1957</v>
      </c>
      <c r="F815" s="601" t="s">
        <v>551</v>
      </c>
      <c r="G815" s="601">
        <v>26.54</v>
      </c>
      <c r="H815" s="601">
        <v>36.072000000000003</v>
      </c>
      <c r="I815" s="601">
        <v>36.192999999999998</v>
      </c>
      <c r="J815" s="601">
        <v>21.355</v>
      </c>
      <c r="K815" s="601">
        <v>19.411000000000001</v>
      </c>
      <c r="L815" s="601">
        <v>12.441000000000001</v>
      </c>
    </row>
    <row r="816" spans="1:12" hidden="1">
      <c r="A816" s="601" t="s">
        <v>1962</v>
      </c>
      <c r="B816" s="601" t="str">
        <f t="shared" si="12"/>
        <v xml:space="preserve">LULULEMON </v>
      </c>
      <c r="C816" s="601" t="e">
        <f>MID(Table3[[#This Row],[Statement Code]],FIND("- ",Table3[[#This Row],[Statement Code]])+2,100)</f>
        <v>#VALUE!</v>
      </c>
      <c r="D816" s="602" t="s">
        <v>1965</v>
      </c>
      <c r="E816" s="601" t="s">
        <v>1957</v>
      </c>
      <c r="F816" s="601" t="s">
        <v>551</v>
      </c>
      <c r="G816" s="601">
        <v>22.981000000000002</v>
      </c>
      <c r="H816" s="601">
        <v>30.838999999999999</v>
      </c>
      <c r="I816" s="601">
        <v>31.353000000000002</v>
      </c>
      <c r="J816" s="601">
        <v>18.574000000000002</v>
      </c>
      <c r="K816" s="601">
        <v>16.827999999999999</v>
      </c>
      <c r="L816" s="601">
        <v>10.507</v>
      </c>
    </row>
    <row r="817" spans="1:12" hidden="1">
      <c r="A817" s="601" t="s">
        <v>1962</v>
      </c>
      <c r="B817" s="601" t="str">
        <f t="shared" si="12"/>
        <v xml:space="preserve">LULULEMON </v>
      </c>
      <c r="C817" s="601" t="e">
        <f>MID(Table3[[#This Row],[Statement Code]],FIND("- ",Table3[[#This Row],[Statement Code]])+2,100)</f>
        <v>#VALUE!</v>
      </c>
      <c r="D817" s="602" t="s">
        <v>1966</v>
      </c>
      <c r="E817" s="601" t="s">
        <v>1957</v>
      </c>
      <c r="F817" s="601" t="s">
        <v>551</v>
      </c>
      <c r="G817" s="601">
        <v>1.9997</v>
      </c>
      <c r="H817" s="601">
        <v>1.5425</v>
      </c>
      <c r="I817" s="601">
        <v>1.6583000000000001</v>
      </c>
      <c r="J817" s="601">
        <v>2.4897</v>
      </c>
      <c r="K817" s="601">
        <v>2.5339</v>
      </c>
      <c r="L817" s="601">
        <v>4.3339999999999996</v>
      </c>
    </row>
    <row r="818" spans="1:12" hidden="1">
      <c r="A818" s="601" t="s">
        <v>1962</v>
      </c>
      <c r="B818" s="601" t="str">
        <f t="shared" si="12"/>
        <v xml:space="preserve">LULULEMON </v>
      </c>
      <c r="C818" s="601" t="e">
        <f>MID(Table3[[#This Row],[Statement Code]],FIND("- ",Table3[[#This Row],[Statement Code]])+2,100)</f>
        <v>#VALUE!</v>
      </c>
      <c r="D818" s="602" t="s">
        <v>1967</v>
      </c>
      <c r="E818" s="601" t="s">
        <v>1957</v>
      </c>
      <c r="F818" s="601" t="s">
        <v>551</v>
      </c>
      <c r="G818" s="601">
        <v>5.9169999999999998</v>
      </c>
      <c r="H818" s="601">
        <v>7.65</v>
      </c>
      <c r="I818" s="601">
        <v>7.8579999999999997</v>
      </c>
      <c r="J818" s="601">
        <v>4.7539999999999996</v>
      </c>
      <c r="K818" s="601">
        <v>4.43</v>
      </c>
      <c r="L818" s="601">
        <v>2.847</v>
      </c>
    </row>
    <row r="819" spans="1:12" hidden="1">
      <c r="A819" s="601" t="s">
        <v>1962</v>
      </c>
      <c r="B819" s="601" t="str">
        <f t="shared" si="12"/>
        <v xml:space="preserve">LULULEMON </v>
      </c>
      <c r="C819" s="601" t="e">
        <f>MID(Table3[[#This Row],[Statement Code]],FIND("- ",Table3[[#This Row],[Statement Code]])+2,100)</f>
        <v>#VALUE!</v>
      </c>
      <c r="D819" s="602" t="s">
        <v>1968</v>
      </c>
      <c r="E819" s="601" t="s">
        <v>1957</v>
      </c>
      <c r="F819" s="601" t="s">
        <v>551</v>
      </c>
      <c r="G819" s="601">
        <v>-1.0489999999999999</v>
      </c>
      <c r="H819" s="601">
        <v>-0.86799999999999999</v>
      </c>
      <c r="I819" s="601">
        <v>-0.91800000000000004</v>
      </c>
      <c r="J819" s="601">
        <v>-0.68799999999999994</v>
      </c>
      <c r="K819" s="601">
        <v>-0.72</v>
      </c>
      <c r="L819" s="601">
        <v>-0.95499999999999996</v>
      </c>
    </row>
    <row r="820" spans="1:12" hidden="1">
      <c r="A820" s="601" t="s">
        <v>1962</v>
      </c>
      <c r="B820" s="601" t="str">
        <f t="shared" si="12"/>
        <v xml:space="preserve">LULULEMON </v>
      </c>
      <c r="C820" s="601" t="e">
        <f>MID(Table3[[#This Row],[Statement Code]],FIND("- ",Table3[[#This Row],[Statement Code]])+2,100)</f>
        <v>#VALUE!</v>
      </c>
      <c r="D820" s="602" t="s">
        <v>1969</v>
      </c>
      <c r="E820" s="601" t="s">
        <v>1957</v>
      </c>
      <c r="F820" s="601" t="s">
        <v>551</v>
      </c>
      <c r="G820" s="601">
        <v>-0.05</v>
      </c>
      <c r="H820" s="601">
        <v>-2.4E-2</v>
      </c>
      <c r="I820" s="601">
        <v>-3.1E-2</v>
      </c>
      <c r="J820" s="601">
        <v>-3.5999999999999997E-2</v>
      </c>
      <c r="K820" s="601">
        <v>-4.1000000000000002E-2</v>
      </c>
      <c r="L820" s="601">
        <v>-8.5000000000000006E-2</v>
      </c>
    </row>
    <row r="821" spans="1:12" hidden="1">
      <c r="A821" s="601" t="s">
        <v>1962</v>
      </c>
      <c r="B821" s="601" t="str">
        <f t="shared" si="12"/>
        <v xml:space="preserve">LULULEMON </v>
      </c>
      <c r="C821" s="601" t="e">
        <f>MID(Table3[[#This Row],[Statement Code]],FIND("- ",Table3[[#This Row],[Statement Code]])+2,100)</f>
        <v>#VALUE!</v>
      </c>
      <c r="D821" s="602" t="s">
        <v>1970</v>
      </c>
      <c r="E821" s="601" t="s">
        <v>1957</v>
      </c>
      <c r="F821" s="601" t="s">
        <v>551</v>
      </c>
      <c r="G821" s="601">
        <v>2.02</v>
      </c>
      <c r="H821" s="601">
        <v>2.4500000000000002</v>
      </c>
      <c r="I821" s="601">
        <v>2.2799999999999998</v>
      </c>
      <c r="J821" s="601">
        <v>1.86</v>
      </c>
      <c r="K821" s="601">
        <v>1.56</v>
      </c>
      <c r="L821" s="601">
        <v>0.87</v>
      </c>
    </row>
    <row r="822" spans="1:12" hidden="1">
      <c r="A822" s="601" t="s">
        <v>1962</v>
      </c>
      <c r="B822" s="601" t="str">
        <f t="shared" si="12"/>
        <v xml:space="preserve">LULULEMON </v>
      </c>
      <c r="C822" s="601" t="e">
        <f>MID(Table3[[#This Row],[Statement Code]],FIND("- ",Table3[[#This Row],[Statement Code]])+2,100)</f>
        <v>#VALUE!</v>
      </c>
      <c r="D822" s="602" t="s">
        <v>1971</v>
      </c>
      <c r="E822" s="601" t="s">
        <v>1957</v>
      </c>
      <c r="F822" s="601" t="s">
        <v>551</v>
      </c>
      <c r="G822" s="601">
        <v>1.5</v>
      </c>
      <c r="H822" s="601">
        <v>1.4</v>
      </c>
      <c r="I822" s="601">
        <v>1.57</v>
      </c>
      <c r="J822" s="601">
        <v>1.35</v>
      </c>
      <c r="K822" s="601">
        <v>1.34</v>
      </c>
      <c r="L822" s="601">
        <v>0.88</v>
      </c>
    </row>
    <row r="823" spans="1:12" hidden="1">
      <c r="A823" s="601" t="s">
        <v>1962</v>
      </c>
      <c r="B823" s="601" t="str">
        <f t="shared" si="12"/>
        <v xml:space="preserve">LULULEMON </v>
      </c>
      <c r="C823" s="601" t="e">
        <f>MID(Table3[[#This Row],[Statement Code]],FIND("- ",Table3[[#This Row],[Statement Code]])+2,100)</f>
        <v>#VALUE!</v>
      </c>
      <c r="D823" s="602" t="s">
        <v>1972</v>
      </c>
      <c r="E823" s="601" t="s">
        <v>1957</v>
      </c>
      <c r="F823" s="601" t="s">
        <v>551</v>
      </c>
      <c r="G823" s="601">
        <v>13.931100000000001</v>
      </c>
      <c r="H823" s="601">
        <v>14.601699999999999</v>
      </c>
      <c r="I823" s="601">
        <v>15.4491</v>
      </c>
      <c r="J823" s="601">
        <v>10.4366</v>
      </c>
      <c r="K823" s="601">
        <v>9.9977</v>
      </c>
      <c r="L823" s="601">
        <v>6.0620000000000003</v>
      </c>
    </row>
    <row r="824" spans="1:12">
      <c r="A824" s="601" t="s">
        <v>1973</v>
      </c>
      <c r="B824" s="601" t="str">
        <f t="shared" si="12"/>
        <v xml:space="preserve">LULULEMON </v>
      </c>
      <c r="C824" s="601" t="str">
        <f>MID(Table3[[#This Row],[Statement Code]],FIND("- ",Table3[[#This Row],[Statement Code]])+2,100)</f>
        <v>12MTH TRAILING EPS</v>
      </c>
      <c r="D824" s="602" t="s">
        <v>1974</v>
      </c>
      <c r="E824" s="601" t="s">
        <v>1957</v>
      </c>
      <c r="F824" s="601" t="s">
        <v>551</v>
      </c>
      <c r="G824" s="601">
        <v>4.3010000000000002</v>
      </c>
      <c r="H824" s="601">
        <v>4.43</v>
      </c>
      <c r="I824" s="601">
        <v>6.5670000000000002</v>
      </c>
      <c r="J824" s="601">
        <v>9.19</v>
      </c>
      <c r="K824" s="601">
        <v>11.462999999999999</v>
      </c>
      <c r="L824" s="601">
        <v>13.461</v>
      </c>
    </row>
    <row r="825" spans="1:12" hidden="1">
      <c r="A825" s="601" t="s">
        <v>1975</v>
      </c>
      <c r="B825" s="601" t="str">
        <f t="shared" si="12"/>
        <v xml:space="preserve">LULULEMON </v>
      </c>
      <c r="C825" s="601" t="str">
        <f>MID(Table3[[#This Row],[Statement Code]],FIND("- ",Table3[[#This Row],[Statement Code]])+2,100)</f>
        <v>DIV.PER SHR.</v>
      </c>
      <c r="D825" s="602" t="s">
        <v>1976</v>
      </c>
      <c r="E825" s="601" t="s">
        <v>1957</v>
      </c>
      <c r="F825" s="601" t="s">
        <v>551</v>
      </c>
      <c r="G825" s="601">
        <v>0</v>
      </c>
      <c r="H825" s="601">
        <v>0</v>
      </c>
      <c r="I825" s="601">
        <v>0</v>
      </c>
      <c r="J825" s="601">
        <v>0</v>
      </c>
      <c r="K825" s="601">
        <v>0</v>
      </c>
      <c r="L825" s="601">
        <v>0</v>
      </c>
    </row>
    <row r="826" spans="1:12" hidden="1">
      <c r="A826" s="601" t="s">
        <v>1962</v>
      </c>
      <c r="B826" s="601" t="str">
        <f t="shared" si="12"/>
        <v xml:space="preserve">LULULEMON </v>
      </c>
      <c r="C826" s="601" t="e">
        <f>MID(Table3[[#This Row],[Statement Code]],FIND("- ",Table3[[#This Row],[Statement Code]])+2,100)</f>
        <v>#VALUE!</v>
      </c>
      <c r="D826" s="602" t="s">
        <v>1977</v>
      </c>
      <c r="E826" s="601" t="s">
        <v>1957</v>
      </c>
      <c r="F826" s="601" t="s">
        <v>551</v>
      </c>
      <c r="G826" s="601">
        <v>0</v>
      </c>
      <c r="H826" s="601">
        <v>0</v>
      </c>
      <c r="I826" s="601">
        <v>0</v>
      </c>
      <c r="J826" s="601">
        <v>0</v>
      </c>
      <c r="K826" s="601">
        <v>0</v>
      </c>
      <c r="L826" s="601">
        <v>0</v>
      </c>
    </row>
    <row r="827" spans="1:12" hidden="1">
      <c r="A827" s="601" t="s">
        <v>1960</v>
      </c>
      <c r="B827" s="601" t="str">
        <f t="shared" si="12"/>
        <v xml:space="preserve">LULULEMON </v>
      </c>
      <c r="C827" s="601" t="str">
        <f>MID(Table3[[#This Row],[Statement Code]],FIND("- ",Table3[[#This Row],[Statement Code]])+2,100)</f>
        <v>12MTH FORWARD EPS</v>
      </c>
      <c r="D827" s="602" t="s">
        <v>1961</v>
      </c>
      <c r="E827" s="601" t="s">
        <v>1957</v>
      </c>
      <c r="F827" s="601" t="s">
        <v>551</v>
      </c>
      <c r="G827" s="601">
        <v>5.1429999999999998</v>
      </c>
      <c r="H827" s="601">
        <v>5.6669999999999998</v>
      </c>
      <c r="I827" s="601">
        <v>8.4469999999999992</v>
      </c>
      <c r="J827" s="601">
        <v>10.903</v>
      </c>
      <c r="K827" s="601">
        <v>13.3</v>
      </c>
      <c r="L827" s="601">
        <v>14.504</v>
      </c>
    </row>
    <row r="828" spans="1:12" hidden="1">
      <c r="A828" s="601" t="s">
        <v>1958</v>
      </c>
      <c r="B828" s="601" t="str">
        <f t="shared" si="12"/>
        <v xml:space="preserve">LULULEMON </v>
      </c>
      <c r="C828" s="601" t="str">
        <f>MID(Table3[[#This Row],[Statement Code]],FIND("- ",Table3[[#This Row],[Statement Code]])+2,100)</f>
        <v>PER</v>
      </c>
      <c r="D828" s="602" t="s">
        <v>1959</v>
      </c>
      <c r="E828" s="601" t="s">
        <v>1957</v>
      </c>
      <c r="F828" s="601" t="s">
        <v>551</v>
      </c>
      <c r="G828" s="601">
        <v>51.6</v>
      </c>
      <c r="H828" s="601">
        <v>72.3</v>
      </c>
      <c r="I828" s="601">
        <v>50.9</v>
      </c>
      <c r="J828" s="601">
        <v>31.3</v>
      </c>
      <c r="K828" s="601">
        <v>35.799999999999997</v>
      </c>
      <c r="L828" s="601">
        <v>16</v>
      </c>
    </row>
    <row r="829" spans="1:12" hidden="1">
      <c r="A829" s="601" t="s">
        <v>1955</v>
      </c>
      <c r="B829" s="601" t="str">
        <f t="shared" si="12"/>
        <v xml:space="preserve">LULULEMON </v>
      </c>
      <c r="C829" s="601" t="str">
        <f>MID(Table3[[#This Row],[Statement Code]],FIND("- ",Table3[[#This Row],[Statement Code]])+2,100)</f>
        <v>MARKET VALUE</v>
      </c>
      <c r="D829" s="602" t="s">
        <v>1956</v>
      </c>
      <c r="E829" s="601" t="s">
        <v>1957</v>
      </c>
      <c r="F829" s="601" t="s">
        <v>551</v>
      </c>
      <c r="G829" s="601">
        <v>24056.79</v>
      </c>
      <c r="H829" s="601">
        <v>36821.660000000003</v>
      </c>
      <c r="I829" s="601">
        <v>53152.6</v>
      </c>
      <c r="J829" s="601">
        <v>40756.39</v>
      </c>
      <c r="K829" s="601">
        <v>46482.8</v>
      </c>
      <c r="L829" s="601">
        <v>31791.88</v>
      </c>
    </row>
    <row r="830" spans="1:12" hidden="1">
      <c r="A830" s="601" t="s">
        <v>1978</v>
      </c>
      <c r="B830" s="601" t="str">
        <f t="shared" si="12"/>
        <v xml:space="preserve">LULULEMON </v>
      </c>
      <c r="C830" s="601" t="str">
        <f>MID(Table3[[#This Row],[Statement Code]],FIND("- ",Table3[[#This Row],[Statement Code]])+2,100)</f>
        <v>EARNINGS PER SHR</v>
      </c>
      <c r="D830" s="602" t="s">
        <v>1979</v>
      </c>
      <c r="E830" s="601" t="s">
        <v>1957</v>
      </c>
      <c r="F830" s="601" t="s">
        <v>551</v>
      </c>
      <c r="G830" s="601">
        <v>3.78</v>
      </c>
      <c r="H830" s="601">
        <v>4.08</v>
      </c>
      <c r="I830" s="601">
        <v>8.3800000000000008</v>
      </c>
      <c r="J830" s="601">
        <v>10.66</v>
      </c>
      <c r="K830" s="601">
        <v>10.68</v>
      </c>
      <c r="L830" s="601">
        <v>16.88</v>
      </c>
    </row>
    <row r="831" spans="1:12" hidden="1">
      <c r="A831" s="601" t="s">
        <v>1962</v>
      </c>
      <c r="B831" s="601" t="str">
        <f t="shared" si="12"/>
        <v xml:space="preserve">LULULEMON </v>
      </c>
      <c r="C831" s="601" t="e">
        <f>MID(Table3[[#This Row],[Statement Code]],FIND("- ",Table3[[#This Row],[Statement Code]])+2,100)</f>
        <v>#VALUE!</v>
      </c>
      <c r="D831" s="602" t="s">
        <v>1980</v>
      </c>
      <c r="E831" s="601" t="s">
        <v>1957</v>
      </c>
      <c r="F831" s="601" t="s">
        <v>23</v>
      </c>
      <c r="G831" s="601">
        <v>1.4774</v>
      </c>
      <c r="H831" s="601">
        <v>1.8762000000000001</v>
      </c>
      <c r="I831" s="601">
        <v>1.9937</v>
      </c>
      <c r="J831" s="601">
        <v>1.875</v>
      </c>
      <c r="K831" s="601">
        <v>1.8920999999999999</v>
      </c>
      <c r="L831" s="601">
        <v>1.8355999999999999</v>
      </c>
    </row>
    <row r="832" spans="1:12" hidden="1">
      <c r="A832" s="601" t="s">
        <v>1962</v>
      </c>
      <c r="B832" s="601" t="str">
        <f t="shared" si="12"/>
        <v xml:space="preserve">LULULEMON </v>
      </c>
      <c r="C832" s="601" t="e">
        <f>MID(Table3[[#This Row],[Statement Code]],FIND("- ",Table3[[#This Row],[Statement Code]])+2,100)</f>
        <v>#VALUE!</v>
      </c>
      <c r="D832" s="602" t="s">
        <v>1981</v>
      </c>
      <c r="E832" s="601" t="s">
        <v>1957</v>
      </c>
      <c r="F832" s="601" t="s">
        <v>23</v>
      </c>
      <c r="G832" s="601">
        <v>0.37540000000000001</v>
      </c>
      <c r="H832" s="601">
        <v>0.49990000000000001</v>
      </c>
      <c r="I832" s="601">
        <v>0.4884</v>
      </c>
      <c r="J832" s="601">
        <v>0.51859999999999995</v>
      </c>
      <c r="K832" s="601">
        <v>0.51519999999999999</v>
      </c>
      <c r="L832" s="601">
        <v>0.51780000000000004</v>
      </c>
    </row>
    <row r="833" spans="1:12" hidden="1">
      <c r="A833" s="601" t="s">
        <v>1982</v>
      </c>
      <c r="B833" s="601" t="str">
        <f t="shared" si="12"/>
        <v xml:space="preserve">LULULEMON </v>
      </c>
      <c r="C833" s="601" t="str">
        <f>MID(Table3[[#This Row],[Statement Code]],FIND("- ",Table3[[#This Row],[Statement Code]])+2,100)</f>
        <v>ACCOUNTS PAYABLE</v>
      </c>
      <c r="D833" s="602" t="s">
        <v>1983</v>
      </c>
      <c r="E833" s="601" t="s">
        <v>1957</v>
      </c>
      <c r="F833" s="601" t="s">
        <v>551</v>
      </c>
      <c r="G833" s="601">
        <v>80810</v>
      </c>
      <c r="H833" s="601">
        <v>166993</v>
      </c>
      <c r="I833" s="601">
        <v>288719</v>
      </c>
      <c r="J833" s="601">
        <v>173129</v>
      </c>
      <c r="K833" s="601">
        <v>346842</v>
      </c>
      <c r="L833" s="601" t="s">
        <v>23</v>
      </c>
    </row>
    <row r="834" spans="1:12" hidden="1">
      <c r="A834" s="601" t="s">
        <v>1984</v>
      </c>
      <c r="B834" s="601" t="str">
        <f t="shared" si="12"/>
        <v xml:space="preserve">LULULEMON </v>
      </c>
      <c r="C834" s="601" t="str">
        <f>MID(Table3[[#This Row],[Statement Code]],FIND("- ",Table3[[#This Row],[Statement Code]])+2,100)</f>
        <v>AMORTIZATION OF DEFERRED CHARG</v>
      </c>
      <c r="D834" s="602" t="s">
        <v>1985</v>
      </c>
      <c r="E834" s="601" t="s">
        <v>1957</v>
      </c>
      <c r="F834" s="601" t="s">
        <v>551</v>
      </c>
      <c r="G834" s="601" t="s">
        <v>23</v>
      </c>
      <c r="H834" s="601" t="s">
        <v>23</v>
      </c>
      <c r="I834" s="601" t="s">
        <v>23</v>
      </c>
      <c r="J834" s="601" t="s">
        <v>23</v>
      </c>
      <c r="K834" s="601">
        <v>374</v>
      </c>
      <c r="L834" s="601" t="s">
        <v>23</v>
      </c>
    </row>
    <row r="835" spans="1:12" hidden="1">
      <c r="A835" s="601" t="s">
        <v>1986</v>
      </c>
      <c r="B835" s="601" t="str">
        <f t="shared" ref="B835:B898" si="13">LEFT(A835,FIND(" ",A835))</f>
        <v xml:space="preserve">LULULEMON </v>
      </c>
      <c r="C835" s="601" t="str">
        <f>MID(Table3[[#This Row],[Statement Code]],FIND("- ",Table3[[#This Row],[Statement Code]])+2,100)</f>
        <v>AMORTIZATION-INTANGIBLE ASSETS</v>
      </c>
      <c r="D835" s="602" t="s">
        <v>1987</v>
      </c>
      <c r="E835" s="601" t="s">
        <v>1957</v>
      </c>
      <c r="F835" s="601" t="s">
        <v>551</v>
      </c>
      <c r="G835" s="601">
        <v>133</v>
      </c>
      <c r="H835" s="601">
        <v>5226</v>
      </c>
      <c r="I835" s="601">
        <v>8624</v>
      </c>
      <c r="J835" s="601">
        <v>8625</v>
      </c>
      <c r="K835" s="601">
        <v>5384</v>
      </c>
      <c r="L835" s="601" t="s">
        <v>23</v>
      </c>
    </row>
    <row r="836" spans="1:12" hidden="1">
      <c r="A836" s="601" t="s">
        <v>1988</v>
      </c>
      <c r="B836" s="601" t="str">
        <f t="shared" si="13"/>
        <v xml:space="preserve">LULULEMON </v>
      </c>
      <c r="C836" s="601" t="str">
        <f>MID(Table3[[#This Row],[Statement Code]],FIND("- ",Table3[[#This Row],[Statement Code]])+2,100)</f>
        <v>AMORTIZATION OF INTANGIBLES</v>
      </c>
      <c r="D836" s="602" t="s">
        <v>1989</v>
      </c>
      <c r="E836" s="601" t="s">
        <v>1957</v>
      </c>
      <c r="F836" s="601" t="s">
        <v>551</v>
      </c>
      <c r="G836" s="601">
        <v>133</v>
      </c>
      <c r="H836" s="601">
        <v>5226</v>
      </c>
      <c r="I836" s="601">
        <v>8624</v>
      </c>
      <c r="J836" s="601">
        <v>8625</v>
      </c>
      <c r="K836" s="601">
        <v>5010</v>
      </c>
      <c r="L836" s="601" t="s">
        <v>23</v>
      </c>
    </row>
    <row r="837" spans="1:12" hidden="1">
      <c r="A837" s="601" t="s">
        <v>1990</v>
      </c>
      <c r="B837" s="601" t="str">
        <f t="shared" si="13"/>
        <v xml:space="preserve">LULULEMON </v>
      </c>
      <c r="C837" s="601" t="str">
        <f>MID(Table3[[#This Row],[Statement Code]],FIND("- ",Table3[[#This Row],[Statement Code]])+2,100)</f>
        <v>BOOK VALUE-OUT SHARES-FISCAL</v>
      </c>
      <c r="D837" s="602" t="s">
        <v>1991</v>
      </c>
      <c r="E837" s="601" t="s">
        <v>1957</v>
      </c>
      <c r="F837" s="601" t="s">
        <v>551</v>
      </c>
      <c r="G837" s="601">
        <v>15.129</v>
      </c>
      <c r="H837" s="601">
        <v>19.029</v>
      </c>
      <c r="I837" s="601">
        <v>21.248999999999999</v>
      </c>
      <c r="J837" s="601">
        <v>24.788</v>
      </c>
      <c r="K837" s="601">
        <v>33.375</v>
      </c>
      <c r="L837" s="601" t="s">
        <v>23</v>
      </c>
    </row>
    <row r="838" spans="1:12" hidden="1">
      <c r="A838" s="601" t="s">
        <v>1992</v>
      </c>
      <c r="B838" s="601" t="str">
        <f t="shared" si="13"/>
        <v xml:space="preserve">LULULEMON </v>
      </c>
      <c r="C838" s="601" t="str">
        <f>MID(Table3[[#This Row],[Statement Code]],FIND("- ",Table3[[#This Row],[Statement Code]])+2,100)</f>
        <v>BOOK VALUE PER SHARE</v>
      </c>
      <c r="D838" s="602" t="s">
        <v>1993</v>
      </c>
      <c r="E838" s="601" t="s">
        <v>1957</v>
      </c>
      <c r="F838" s="601" t="s">
        <v>551</v>
      </c>
      <c r="G838" s="601">
        <v>15.129</v>
      </c>
      <c r="H838" s="601">
        <v>19.029</v>
      </c>
      <c r="I838" s="601">
        <v>21.248999999999999</v>
      </c>
      <c r="J838" s="601">
        <v>24.788</v>
      </c>
      <c r="K838" s="601">
        <v>33.375</v>
      </c>
      <c r="L838" s="601" t="s">
        <v>23</v>
      </c>
    </row>
    <row r="839" spans="1:12">
      <c r="A839" s="601" t="s">
        <v>1994</v>
      </c>
      <c r="B839" s="601" t="str">
        <f t="shared" si="13"/>
        <v xml:space="preserve">LULULEMON </v>
      </c>
      <c r="C839" s="601" t="str">
        <f>MID(Table3[[#This Row],[Statement Code]],FIND("- ",Table3[[#This Row],[Statement Code]])+2,100)</f>
        <v>CAPITAL EXPENDITURES</v>
      </c>
      <c r="D839" s="602" t="s">
        <v>1995</v>
      </c>
      <c r="E839" s="601" t="s">
        <v>1957</v>
      </c>
      <c r="F839" s="601" t="s">
        <v>551</v>
      </c>
      <c r="G839" s="601">
        <v>282960</v>
      </c>
      <c r="H839" s="601">
        <v>232177</v>
      </c>
      <c r="I839" s="601">
        <v>387403</v>
      </c>
      <c r="J839" s="601">
        <v>629387</v>
      </c>
      <c r="K839" s="601">
        <v>651806</v>
      </c>
      <c r="L839" s="601" t="s">
        <v>23</v>
      </c>
    </row>
    <row r="840" spans="1:12" hidden="1">
      <c r="A840" s="601" t="s">
        <v>1996</v>
      </c>
      <c r="B840" s="601" t="str">
        <f t="shared" si="13"/>
        <v xml:space="preserve">LULULEMON </v>
      </c>
      <c r="C840" s="601" t="str">
        <f>MID(Table3[[#This Row],[Statement Code]],FIND("- ",Table3[[#This Row],[Statement Code]])+2,100)</f>
        <v>CASH</v>
      </c>
      <c r="D840" s="602" t="s">
        <v>1997</v>
      </c>
      <c r="E840" s="601" t="s">
        <v>1957</v>
      </c>
      <c r="F840" s="601" t="s">
        <v>551</v>
      </c>
      <c r="G840" s="601">
        <v>1104624</v>
      </c>
      <c r="H840" s="601">
        <v>1115433</v>
      </c>
      <c r="I840" s="601">
        <v>1255483</v>
      </c>
      <c r="J840" s="601">
        <v>1157525</v>
      </c>
      <c r="K840" s="601">
        <v>2233672</v>
      </c>
      <c r="L840" s="601" t="s">
        <v>23</v>
      </c>
    </row>
    <row r="841" spans="1:12" hidden="1">
      <c r="A841" s="601" t="s">
        <v>1998</v>
      </c>
      <c r="B841" s="601" t="str">
        <f t="shared" si="13"/>
        <v xml:space="preserve">LULULEMON </v>
      </c>
      <c r="C841" s="601" t="str">
        <f>MID(Table3[[#This Row],[Statement Code]],FIND("- ",Table3[[#This Row],[Statement Code]])+2,100)</f>
        <v>CASH - GENERIC</v>
      </c>
      <c r="D841" s="602" t="s">
        <v>1999</v>
      </c>
      <c r="E841" s="601" t="s">
        <v>1957</v>
      </c>
      <c r="F841" s="601" t="s">
        <v>551</v>
      </c>
      <c r="G841" s="601">
        <v>1106377</v>
      </c>
      <c r="H841" s="601">
        <v>1132267</v>
      </c>
      <c r="I841" s="601">
        <v>1274494</v>
      </c>
      <c r="J841" s="601">
        <v>1174270</v>
      </c>
      <c r="K841" s="601">
        <v>2234316</v>
      </c>
      <c r="L841" s="601" t="s">
        <v>23</v>
      </c>
    </row>
    <row r="842" spans="1:12">
      <c r="A842" s="601" t="s">
        <v>2000</v>
      </c>
      <c r="B842" s="601" t="str">
        <f t="shared" si="13"/>
        <v xml:space="preserve">LULULEMON </v>
      </c>
      <c r="C842" s="601" t="str">
        <f>MID(Table3[[#This Row],[Statement Code]],FIND("- ",Table3[[#This Row],[Statement Code]])+2,100)</f>
        <v>CASH &amp; SHORT TERM INVESTMENTS</v>
      </c>
      <c r="D842" s="602" t="s">
        <v>2001</v>
      </c>
      <c r="E842" s="601" t="s">
        <v>1957</v>
      </c>
      <c r="F842" s="601" t="s">
        <v>551</v>
      </c>
      <c r="G842" s="601">
        <v>1106377</v>
      </c>
      <c r="H842" s="601">
        <v>1132267</v>
      </c>
      <c r="I842" s="601">
        <v>1274494</v>
      </c>
      <c r="J842" s="601">
        <v>1174270</v>
      </c>
      <c r="K842" s="601">
        <v>2234316</v>
      </c>
      <c r="L842" s="601" t="s">
        <v>23</v>
      </c>
    </row>
    <row r="843" spans="1:12" hidden="1">
      <c r="A843" s="601" t="s">
        <v>2002</v>
      </c>
      <c r="B843" s="601" t="str">
        <f t="shared" si="13"/>
        <v xml:space="preserve">LULULEMON </v>
      </c>
      <c r="C843" s="601" t="str">
        <f>MID(Table3[[#This Row],[Statement Code]],FIND("- ",Table3[[#This Row],[Statement Code]])+2,100)</f>
        <v>CASH DIVIDENDS PAID - TOTAL</v>
      </c>
      <c r="D843" s="602" t="s">
        <v>2003</v>
      </c>
      <c r="E843" s="601" t="s">
        <v>1957</v>
      </c>
      <c r="F843" s="601" t="s">
        <v>551</v>
      </c>
      <c r="G843" s="601">
        <v>0</v>
      </c>
      <c r="H843" s="601">
        <v>0</v>
      </c>
      <c r="I843" s="601">
        <v>0</v>
      </c>
      <c r="J843" s="601" t="s">
        <v>23</v>
      </c>
      <c r="K843" s="601">
        <v>0</v>
      </c>
      <c r="L843" s="601" t="s">
        <v>23</v>
      </c>
    </row>
    <row r="844" spans="1:12" hidden="1">
      <c r="A844" s="601" t="s">
        <v>2004</v>
      </c>
      <c r="B844" s="601" t="str">
        <f t="shared" si="13"/>
        <v xml:space="preserve">LULULEMON </v>
      </c>
      <c r="C844" s="601" t="str">
        <f>MID(Table3[[#This Row],[Statement Code]],FIND("- ",Table3[[#This Row],[Statement Code]])+2,100)</f>
        <v>CASH FLOW PER SHARE</v>
      </c>
      <c r="D844" s="602" t="s">
        <v>2005</v>
      </c>
      <c r="E844" s="601" t="s">
        <v>1957</v>
      </c>
      <c r="F844" s="601" t="s">
        <v>551</v>
      </c>
      <c r="G844" s="601">
        <v>6.6189999999999998</v>
      </c>
      <c r="H844" s="601">
        <v>6.6150000000000002</v>
      </c>
      <c r="I844" s="601">
        <v>9.5350000000000001</v>
      </c>
      <c r="J844" s="601">
        <v>12.069000000000001</v>
      </c>
      <c r="K844" s="601">
        <v>16.545999999999999</v>
      </c>
      <c r="L844" s="601" t="s">
        <v>23</v>
      </c>
    </row>
    <row r="845" spans="1:12" hidden="1">
      <c r="A845" s="601" t="s">
        <v>2006</v>
      </c>
      <c r="B845" s="601" t="str">
        <f t="shared" si="13"/>
        <v xml:space="preserve">LULULEMON </v>
      </c>
      <c r="C845" s="601" t="str">
        <f>MID(Table3[[#This Row],[Statement Code]],FIND("- ",Table3[[#This Row],[Statement Code]])+2,100)</f>
        <v>CASH FLOW PER SHARE - FIS YR</v>
      </c>
      <c r="D845" s="602" t="s">
        <v>2007</v>
      </c>
      <c r="E845" s="601" t="s">
        <v>1957</v>
      </c>
      <c r="F845" s="601" t="s">
        <v>551</v>
      </c>
      <c r="G845" s="601">
        <v>6.6189999999999998</v>
      </c>
      <c r="H845" s="601">
        <v>6.6150000000000002</v>
      </c>
      <c r="I845" s="601">
        <v>9.5350000000000001</v>
      </c>
      <c r="J845" s="601">
        <v>12.069000000000001</v>
      </c>
      <c r="K845" s="601">
        <v>16.545999999999999</v>
      </c>
      <c r="L845" s="601" t="s">
        <v>23</v>
      </c>
    </row>
    <row r="846" spans="1:12" hidden="1">
      <c r="A846" s="601" t="s">
        <v>2008</v>
      </c>
      <c r="B846" s="601" t="str">
        <f t="shared" si="13"/>
        <v xml:space="preserve">LULULEMON </v>
      </c>
      <c r="C846" s="601" t="str">
        <f>MID(Table3[[#This Row],[Statement Code]],FIND("- ",Table3[[#This Row],[Statement Code]])+2,100)</f>
        <v>COMMON DIVIDENDS (CASH)</v>
      </c>
      <c r="D846" s="602" t="s">
        <v>2009</v>
      </c>
      <c r="E846" s="601" t="s">
        <v>1957</v>
      </c>
      <c r="F846" s="601" t="s">
        <v>551</v>
      </c>
      <c r="G846" s="601">
        <v>0</v>
      </c>
      <c r="H846" s="601">
        <v>0</v>
      </c>
      <c r="I846" s="601">
        <v>0</v>
      </c>
      <c r="J846" s="601" t="s">
        <v>23</v>
      </c>
      <c r="K846" s="601">
        <v>0</v>
      </c>
      <c r="L846" s="601" t="s">
        <v>23</v>
      </c>
    </row>
    <row r="847" spans="1:12" hidden="1">
      <c r="A847" s="601" t="s">
        <v>2010</v>
      </c>
      <c r="B847" s="601" t="str">
        <f t="shared" si="13"/>
        <v xml:space="preserve">LULULEMON </v>
      </c>
      <c r="C847" s="601" t="str">
        <f>MID(Table3[[#This Row],[Statement Code]],FIND("- ",Table3[[#This Row],[Statement Code]])+2,100)</f>
        <v>COMMON SHAREHOLDERS' EQUITY</v>
      </c>
      <c r="D847" s="602" t="s">
        <v>2011</v>
      </c>
      <c r="E847" s="601" t="s">
        <v>1957</v>
      </c>
      <c r="F847" s="601" t="s">
        <v>551</v>
      </c>
      <c r="G847" s="601">
        <v>1972069</v>
      </c>
      <c r="H847" s="601">
        <v>2480544</v>
      </c>
      <c r="I847" s="601">
        <v>2730503</v>
      </c>
      <c r="J847" s="601">
        <v>3156045</v>
      </c>
      <c r="K847" s="601">
        <v>4212657</v>
      </c>
      <c r="L847" s="601" t="s">
        <v>23</v>
      </c>
    </row>
    <row r="848" spans="1:12">
      <c r="A848" s="601" t="s">
        <v>2012</v>
      </c>
      <c r="B848" s="601" t="str">
        <f t="shared" si="13"/>
        <v xml:space="preserve">LULULEMON </v>
      </c>
      <c r="C848" s="601" t="str">
        <f>MID(Table3[[#This Row],[Statement Code]],FIND("- ",Table3[[#This Row],[Statement Code]])+2,100)</f>
        <v>COMMON STOCK</v>
      </c>
      <c r="D848" s="602" t="s">
        <v>2013</v>
      </c>
      <c r="E848" s="601" t="s">
        <v>1957</v>
      </c>
      <c r="F848" s="601" t="s">
        <v>551</v>
      </c>
      <c r="G848" s="601">
        <v>627</v>
      </c>
      <c r="H848" s="601">
        <v>607</v>
      </c>
      <c r="I848" s="601">
        <v>614</v>
      </c>
      <c r="J848" s="601">
        <v>612</v>
      </c>
      <c r="K848" s="601">
        <v>603</v>
      </c>
      <c r="L848" s="601" t="s">
        <v>23</v>
      </c>
    </row>
    <row r="849" spans="1:12" hidden="1">
      <c r="A849" s="601" t="s">
        <v>2014</v>
      </c>
      <c r="B849" s="601" t="str">
        <f t="shared" si="13"/>
        <v xml:space="preserve">LULULEMON </v>
      </c>
      <c r="C849" s="601" t="str">
        <f>MID(Table3[[#This Row],[Statement Code]],FIND("- ",Table3[[#This Row],[Statement Code]])+2,100)</f>
        <v>COST OF GOODS SOLD (EXCL DEP)</v>
      </c>
      <c r="D849" s="602" t="s">
        <v>2015</v>
      </c>
      <c r="E849" s="601" t="s">
        <v>1957</v>
      </c>
      <c r="F849" s="601" t="s">
        <v>551</v>
      </c>
      <c r="G849" s="601">
        <v>1593482</v>
      </c>
      <c r="H849" s="601">
        <v>1780199</v>
      </c>
      <c r="I849" s="601">
        <v>2388842</v>
      </c>
      <c r="J849" s="601">
        <v>3286732</v>
      </c>
      <c r="K849" s="601">
        <v>3635170</v>
      </c>
      <c r="L849" s="601" t="s">
        <v>23</v>
      </c>
    </row>
    <row r="850" spans="1:12">
      <c r="A850" s="601" t="s">
        <v>2016</v>
      </c>
      <c r="B850" s="601" t="str">
        <f t="shared" si="13"/>
        <v xml:space="preserve">LULULEMON </v>
      </c>
      <c r="C850" s="601" t="str">
        <f>MID(Table3[[#This Row],[Statement Code]],FIND("- ",Table3[[#This Row],[Statement Code]])+2,100)</f>
        <v>CURRENT ASSETS - TOTAL</v>
      </c>
      <c r="D850" s="602" t="s">
        <v>2017</v>
      </c>
      <c r="E850" s="601" t="s">
        <v>1957</v>
      </c>
      <c r="F850" s="601" t="s">
        <v>551</v>
      </c>
      <c r="G850" s="601">
        <v>1851220</v>
      </c>
      <c r="H850" s="601">
        <v>2059597</v>
      </c>
      <c r="I850" s="601">
        <v>2605746</v>
      </c>
      <c r="J850" s="601">
        <v>3166723</v>
      </c>
      <c r="K850" s="601">
        <v>4041941</v>
      </c>
      <c r="L850" s="601" t="s">
        <v>23</v>
      </c>
    </row>
    <row r="851" spans="1:12">
      <c r="A851" s="601" t="s">
        <v>2018</v>
      </c>
      <c r="B851" s="601" t="str">
        <f t="shared" si="13"/>
        <v xml:space="preserve">LULULEMON </v>
      </c>
      <c r="C851" s="601" t="str">
        <f>MID(Table3[[#This Row],[Statement Code]],FIND("- ",Table3[[#This Row],[Statement Code]])+2,100)</f>
        <v>CURRENT LIABILITIES-TOTAL</v>
      </c>
      <c r="D851" s="602" t="s">
        <v>2019</v>
      </c>
      <c r="E851" s="601" t="s">
        <v>1957</v>
      </c>
      <c r="F851" s="601" t="s">
        <v>551</v>
      </c>
      <c r="G851" s="601">
        <v>613892</v>
      </c>
      <c r="H851" s="601">
        <v>856246</v>
      </c>
      <c r="I851" s="601">
        <v>1400440</v>
      </c>
      <c r="J851" s="601">
        <v>1495632</v>
      </c>
      <c r="K851" s="601">
        <v>1623774</v>
      </c>
      <c r="L851" s="601" t="s">
        <v>23</v>
      </c>
    </row>
    <row r="852" spans="1:12" hidden="1">
      <c r="A852" s="601" t="s">
        <v>2020</v>
      </c>
      <c r="B852" s="601" t="str">
        <f t="shared" si="13"/>
        <v xml:space="preserve">LULULEMON </v>
      </c>
      <c r="C852" s="601" t="str">
        <f>MID(Table3[[#This Row],[Statement Code]],FIND("- ",Table3[[#This Row],[Statement Code]])+2,100)</f>
        <v>DEFERRED TAXES</v>
      </c>
      <c r="D852" s="602" t="s">
        <v>2021</v>
      </c>
      <c r="E852" s="601" t="s">
        <v>1957</v>
      </c>
      <c r="F852" s="601" t="s">
        <v>551</v>
      </c>
      <c r="G852" s="601">
        <v>12119</v>
      </c>
      <c r="H852" s="601">
        <v>50438</v>
      </c>
      <c r="I852" s="601">
        <v>47096</v>
      </c>
      <c r="J852" s="601">
        <v>48794</v>
      </c>
      <c r="K852" s="601">
        <v>20253</v>
      </c>
      <c r="L852" s="601" t="s">
        <v>23</v>
      </c>
    </row>
    <row r="853" spans="1:12" hidden="1">
      <c r="A853" s="601" t="s">
        <v>2022</v>
      </c>
      <c r="B853" s="601" t="str">
        <f t="shared" si="13"/>
        <v xml:space="preserve">LULULEMON </v>
      </c>
      <c r="C853" s="601" t="str">
        <f>MID(Table3[[#This Row],[Statement Code]],FIND("- ",Table3[[#This Row],[Statement Code]])+2,100)</f>
        <v>DEPRECIATION AND DEPLETION</v>
      </c>
      <c r="D853" s="602" t="s">
        <v>2023</v>
      </c>
      <c r="E853" s="601" t="s">
        <v>1957</v>
      </c>
      <c r="F853" s="601" t="s">
        <v>551</v>
      </c>
      <c r="G853" s="601">
        <v>161750</v>
      </c>
      <c r="H853" s="601">
        <v>182640</v>
      </c>
      <c r="I853" s="601">
        <v>211547</v>
      </c>
      <c r="J853" s="601">
        <v>278931</v>
      </c>
      <c r="K853" s="601">
        <v>373966</v>
      </c>
      <c r="L853" s="601" t="s">
        <v>23</v>
      </c>
    </row>
    <row r="854" spans="1:12">
      <c r="A854" s="601" t="s">
        <v>2024</v>
      </c>
      <c r="B854" s="601" t="str">
        <f t="shared" si="13"/>
        <v xml:space="preserve">LULULEMON </v>
      </c>
      <c r="C854" s="601" t="str">
        <f>MID(Table3[[#This Row],[Statement Code]],FIND("- ",Table3[[#This Row],[Statement Code]])+2,100)</f>
        <v>DEPRECIATION/DEPLETION/AMORT</v>
      </c>
      <c r="D854" s="602" t="s">
        <v>2025</v>
      </c>
      <c r="E854" s="601" t="s">
        <v>1957</v>
      </c>
      <c r="F854" s="601" t="s">
        <v>551</v>
      </c>
      <c r="G854" s="601">
        <v>161883</v>
      </c>
      <c r="H854" s="601">
        <v>187866</v>
      </c>
      <c r="I854" s="601">
        <v>220181</v>
      </c>
      <c r="J854" s="601">
        <v>287556</v>
      </c>
      <c r="K854" s="601">
        <v>379350</v>
      </c>
      <c r="L854" s="601" t="s">
        <v>23</v>
      </c>
    </row>
    <row r="855" spans="1:12" hidden="1">
      <c r="A855" s="601" t="s">
        <v>2026</v>
      </c>
      <c r="B855" s="601" t="str">
        <f t="shared" si="13"/>
        <v xml:space="preserve">LULULEMON </v>
      </c>
      <c r="C855" s="601" t="str">
        <f>MID(Table3[[#This Row],[Statement Code]],FIND("- ",Table3[[#This Row],[Statement Code]])+2,100)</f>
        <v>DIVIDENDS PER SHARE</v>
      </c>
      <c r="D855" s="602" t="s">
        <v>2027</v>
      </c>
      <c r="E855" s="601" t="s">
        <v>1957</v>
      </c>
      <c r="F855" s="601" t="s">
        <v>551</v>
      </c>
      <c r="G855" s="601">
        <v>0</v>
      </c>
      <c r="H855" s="601">
        <v>0</v>
      </c>
      <c r="I855" s="601">
        <v>0</v>
      </c>
      <c r="J855" s="601">
        <v>0</v>
      </c>
      <c r="K855" s="601">
        <v>0</v>
      </c>
      <c r="L855" s="601">
        <v>0</v>
      </c>
    </row>
    <row r="856" spans="1:12" hidden="1">
      <c r="A856" s="601" t="s">
        <v>2028</v>
      </c>
      <c r="B856" s="601" t="str">
        <f t="shared" si="13"/>
        <v xml:space="preserve">LULULEMON </v>
      </c>
      <c r="C856" s="601" t="str">
        <f>MID(Table3[[#This Row],[Statement Code]],FIND("- ",Table3[[#This Row],[Statement Code]])+2,100)</f>
        <v>DIVIDENDS PER SHARE - FISCAL</v>
      </c>
      <c r="D856" s="602" t="s">
        <v>2029</v>
      </c>
      <c r="E856" s="601" t="s">
        <v>1957</v>
      </c>
      <c r="F856" s="601" t="s">
        <v>551</v>
      </c>
      <c r="G856" s="601">
        <v>0</v>
      </c>
      <c r="H856" s="601">
        <v>0</v>
      </c>
      <c r="I856" s="601">
        <v>0</v>
      </c>
      <c r="J856" s="601">
        <v>0</v>
      </c>
      <c r="K856" s="601">
        <v>0</v>
      </c>
      <c r="L856" s="601">
        <v>0</v>
      </c>
    </row>
    <row r="857" spans="1:12">
      <c r="A857" s="601" t="s">
        <v>2030</v>
      </c>
      <c r="B857" s="601" t="str">
        <f t="shared" si="13"/>
        <v xml:space="preserve">LULULEMON </v>
      </c>
      <c r="C857" s="601" t="str">
        <f>MID(Table3[[#This Row],[Statement Code]],FIND("- ",Table3[[#This Row],[Statement Code]])+2,100)</f>
        <v>EARNINGS BEF INTEREST &amp; TAXES</v>
      </c>
      <c r="D857" s="602" t="s">
        <v>2031</v>
      </c>
      <c r="E857" s="601" t="s">
        <v>1957</v>
      </c>
      <c r="F857" s="601" t="s">
        <v>551</v>
      </c>
      <c r="G857" s="601">
        <v>897115</v>
      </c>
      <c r="H857" s="601">
        <v>829899</v>
      </c>
      <c r="I857" s="601">
        <v>1309866</v>
      </c>
      <c r="J857" s="601">
        <v>1313230</v>
      </c>
      <c r="K857" s="601" t="s">
        <v>23</v>
      </c>
      <c r="L857" s="601" t="s">
        <v>23</v>
      </c>
    </row>
    <row r="858" spans="1:12" hidden="1">
      <c r="A858" s="601" t="s">
        <v>2032</v>
      </c>
      <c r="B858" s="601" t="str">
        <f t="shared" si="13"/>
        <v xml:space="preserve">LULULEMON </v>
      </c>
      <c r="C858" s="601" t="str">
        <f>MID(Table3[[#This Row],[Statement Code]],FIND("- ",Table3[[#This Row],[Statement Code]])+2,100)</f>
        <v>EBIT &amp; DEPRECIATION</v>
      </c>
      <c r="D858" s="602" t="s">
        <v>2033</v>
      </c>
      <c r="E858" s="601" t="s">
        <v>1957</v>
      </c>
      <c r="F858" s="601" t="s">
        <v>551</v>
      </c>
      <c r="G858" s="601">
        <v>1058997</v>
      </c>
      <c r="H858" s="601">
        <v>1017765</v>
      </c>
      <c r="I858" s="601">
        <v>1530047</v>
      </c>
      <c r="J858" s="601">
        <v>1600786</v>
      </c>
      <c r="K858" s="601" t="s">
        <v>23</v>
      </c>
      <c r="L858" s="601" t="s">
        <v>23</v>
      </c>
    </row>
    <row r="859" spans="1:12" hidden="1">
      <c r="A859" s="601" t="s">
        <v>2034</v>
      </c>
      <c r="B859" s="601" t="str">
        <f t="shared" si="13"/>
        <v xml:space="preserve">LULULEMON </v>
      </c>
      <c r="C859" s="601" t="str">
        <f>MID(Table3[[#This Row],[Statement Code]],FIND("- ",Table3[[#This Row],[Statement Code]])+2,100)</f>
        <v>EARNINGS PER SHARE</v>
      </c>
      <c r="D859" s="602" t="s">
        <v>2035</v>
      </c>
      <c r="E859" s="601" t="s">
        <v>1957</v>
      </c>
      <c r="F859" s="601" t="s">
        <v>551</v>
      </c>
      <c r="G859" s="601">
        <v>4.9480000000000004</v>
      </c>
      <c r="H859" s="601">
        <v>4.5780000000000003</v>
      </c>
      <c r="I859" s="601">
        <v>7.3849999999999998</v>
      </c>
      <c r="J859" s="601">
        <v>6.6029999999999998</v>
      </c>
      <c r="K859" s="601">
        <v>12.231999999999999</v>
      </c>
      <c r="L859" s="601" t="s">
        <v>23</v>
      </c>
    </row>
    <row r="860" spans="1:12" hidden="1">
      <c r="A860" s="601" t="s">
        <v>2036</v>
      </c>
      <c r="B860" s="601" t="str">
        <f t="shared" si="13"/>
        <v xml:space="preserve">LULULEMON </v>
      </c>
      <c r="C860" s="601" t="str">
        <f>MID(Table3[[#This Row],[Statement Code]],FIND("- ",Table3[[#This Row],[Statement Code]])+2,100)</f>
        <v>FISCAL EPS-FULLY DILUTED-YR</v>
      </c>
      <c r="D860" s="602" t="s">
        <v>2037</v>
      </c>
      <c r="E860" s="601" t="s">
        <v>1957</v>
      </c>
      <c r="F860" s="601" t="s">
        <v>551</v>
      </c>
      <c r="G860" s="601">
        <v>4.9279999999999999</v>
      </c>
      <c r="H860" s="601">
        <v>4.5579999999999998</v>
      </c>
      <c r="I860" s="601">
        <v>7.3550000000000004</v>
      </c>
      <c r="J860" s="601">
        <v>6.5830000000000002</v>
      </c>
      <c r="K860" s="601">
        <v>12.199</v>
      </c>
      <c r="L860" s="601" t="s">
        <v>23</v>
      </c>
    </row>
    <row r="861" spans="1:12" hidden="1">
      <c r="A861" s="601" t="s">
        <v>2038</v>
      </c>
      <c r="B861" s="601" t="str">
        <f t="shared" si="13"/>
        <v xml:space="preserve">LULULEMON </v>
      </c>
      <c r="C861" s="601" t="str">
        <f>MID(Table3[[#This Row],[Statement Code]],FIND("- ",Table3[[#This Row],[Statement Code]])+2,100)</f>
        <v>ENTERPRISE VALUE</v>
      </c>
      <c r="D861" s="602" t="s">
        <v>2039</v>
      </c>
      <c r="E861" s="601" t="s">
        <v>1957</v>
      </c>
      <c r="F861" s="601" t="s">
        <v>551</v>
      </c>
      <c r="G861" s="601">
        <v>30042096</v>
      </c>
      <c r="H861" s="601">
        <v>40405638</v>
      </c>
      <c r="I861" s="601">
        <v>39337704</v>
      </c>
      <c r="J861" s="601">
        <v>38494239</v>
      </c>
      <c r="K861" s="601">
        <v>57926853</v>
      </c>
      <c r="L861" s="601" t="s">
        <v>23</v>
      </c>
    </row>
    <row r="862" spans="1:12">
      <c r="A862" s="601" t="s">
        <v>2040</v>
      </c>
      <c r="B862" s="601" t="str">
        <f t="shared" si="13"/>
        <v xml:space="preserve">LULULEMON </v>
      </c>
      <c r="C862" s="601" t="str">
        <f>MID(Table3[[#This Row],[Statement Code]],FIND("- ",Table3[[#This Row],[Statement Code]])+2,100)</f>
        <v>GROSS INCOME</v>
      </c>
      <c r="D862" s="602" t="s">
        <v>2041</v>
      </c>
      <c r="E862" s="601" t="s">
        <v>1957</v>
      </c>
      <c r="F862" s="601" t="s">
        <v>551</v>
      </c>
      <c r="G862" s="601">
        <v>2222696</v>
      </c>
      <c r="H862" s="601">
        <v>2490489</v>
      </c>
      <c r="I862" s="601">
        <v>3535004</v>
      </c>
      <c r="J862" s="601">
        <v>4418512</v>
      </c>
      <c r="K862" s="601">
        <v>5603887</v>
      </c>
      <c r="L862" s="601" t="s">
        <v>23</v>
      </c>
    </row>
    <row r="863" spans="1:12">
      <c r="A863" s="601" t="s">
        <v>2042</v>
      </c>
      <c r="B863" s="601" t="str">
        <f t="shared" si="13"/>
        <v xml:space="preserve">LULULEMON </v>
      </c>
      <c r="C863" s="601" t="str">
        <f>MID(Table3[[#This Row],[Statement Code]],FIND("- ",Table3[[#This Row],[Statement Code]])+2,100)</f>
        <v>INCOME TAXES</v>
      </c>
      <c r="D863" s="602" t="s">
        <v>2043</v>
      </c>
      <c r="E863" s="601" t="s">
        <v>1957</v>
      </c>
      <c r="F863" s="601" t="s">
        <v>551</v>
      </c>
      <c r="G863" s="601">
        <v>251719</v>
      </c>
      <c r="H863" s="601">
        <v>233404</v>
      </c>
      <c r="I863" s="601">
        <v>352095</v>
      </c>
      <c r="J863" s="601">
        <v>470837</v>
      </c>
      <c r="K863" s="601">
        <v>625488</v>
      </c>
      <c r="L863" s="601" t="s">
        <v>23</v>
      </c>
    </row>
    <row r="864" spans="1:12" hidden="1">
      <c r="A864" s="601" t="s">
        <v>2044</v>
      </c>
      <c r="B864" s="601" t="str">
        <f t="shared" si="13"/>
        <v xml:space="preserve">LULULEMON </v>
      </c>
      <c r="C864" s="601" t="str">
        <f>MID(Table3[[#This Row],[Statement Code]],FIND("- ",Table3[[#This Row],[Statement Code]])+2,100)</f>
        <v>INCREASE/DECREASE IN CASH/SHOR</v>
      </c>
      <c r="D864" s="602" t="s">
        <v>2045</v>
      </c>
      <c r="E864" s="601" t="s">
        <v>1957</v>
      </c>
      <c r="F864" s="601" t="s">
        <v>551</v>
      </c>
      <c r="G864" s="601">
        <v>212119</v>
      </c>
      <c r="H864" s="601">
        <v>57746</v>
      </c>
      <c r="I864" s="601">
        <v>107386</v>
      </c>
      <c r="J864" s="601">
        <v>-103480</v>
      </c>
      <c r="K864" s="601">
        <v>1089005</v>
      </c>
      <c r="L864" s="601" t="s">
        <v>23</v>
      </c>
    </row>
    <row r="865" spans="1:12">
      <c r="A865" s="601" t="s">
        <v>2046</v>
      </c>
      <c r="B865" s="601" t="str">
        <f t="shared" si="13"/>
        <v xml:space="preserve">LULULEMON </v>
      </c>
      <c r="C865" s="601" t="str">
        <f>MID(Table3[[#This Row],[Statement Code]],FIND("- ",Table3[[#This Row],[Statement Code]])+2,100)</f>
        <v>INTEREST EXPENSE ON DEBT</v>
      </c>
      <c r="D865" s="602" t="s">
        <v>2047</v>
      </c>
      <c r="E865" s="601" t="s">
        <v>1957</v>
      </c>
      <c r="F865" s="601" t="s">
        <v>551</v>
      </c>
      <c r="G865" s="601">
        <v>0</v>
      </c>
      <c r="H865" s="601">
        <v>0</v>
      </c>
      <c r="I865" s="601">
        <v>0</v>
      </c>
      <c r="J865" s="601">
        <v>0</v>
      </c>
      <c r="K865" s="601" t="s">
        <v>23</v>
      </c>
      <c r="L865" s="601" t="s">
        <v>23</v>
      </c>
    </row>
    <row r="866" spans="1:12" hidden="1">
      <c r="A866" s="601" t="s">
        <v>2048</v>
      </c>
      <c r="B866" s="601" t="str">
        <f t="shared" si="13"/>
        <v xml:space="preserve">LULULEMON </v>
      </c>
      <c r="C866" s="601" t="str">
        <f>MID(Table3[[#This Row],[Statement Code]],FIND("- ",Table3[[#This Row],[Statement Code]])+2,100)</f>
        <v>TOTAL INVENTORIES</v>
      </c>
      <c r="D866" s="602" t="s">
        <v>2049</v>
      </c>
      <c r="E866" s="601" t="s">
        <v>1957</v>
      </c>
      <c r="F866" s="601" t="s">
        <v>551</v>
      </c>
      <c r="G866" s="601">
        <v>523785</v>
      </c>
      <c r="H866" s="601">
        <v>627493</v>
      </c>
      <c r="I866" s="601">
        <v>963115</v>
      </c>
      <c r="J866" s="601">
        <v>1450698</v>
      </c>
      <c r="K866" s="601">
        <v>1317527</v>
      </c>
      <c r="L866" s="601" t="s">
        <v>23</v>
      </c>
    </row>
    <row r="867" spans="1:12">
      <c r="A867" s="601" t="s">
        <v>2050</v>
      </c>
      <c r="B867" s="601" t="str">
        <f t="shared" si="13"/>
        <v xml:space="preserve">LULULEMON </v>
      </c>
      <c r="C867" s="601" t="str">
        <f>MID(Table3[[#This Row],[Statement Code]],FIND("- ",Table3[[#This Row],[Statement Code]])+2,100)</f>
        <v>LONG TERM DEBT</v>
      </c>
      <c r="D867" s="602" t="s">
        <v>2051</v>
      </c>
      <c r="E867" s="601" t="s">
        <v>1957</v>
      </c>
      <c r="F867" s="601" t="s">
        <v>551</v>
      </c>
      <c r="G867" s="601">
        <v>0</v>
      </c>
      <c r="H867" s="601">
        <v>0</v>
      </c>
      <c r="I867" s="601">
        <v>0</v>
      </c>
      <c r="J867" s="601">
        <v>0</v>
      </c>
      <c r="K867" s="601">
        <v>0</v>
      </c>
      <c r="L867" s="601" t="s">
        <v>23</v>
      </c>
    </row>
    <row r="868" spans="1:12" hidden="1">
      <c r="A868" s="601" t="s">
        <v>2052</v>
      </c>
      <c r="B868" s="601" t="str">
        <f t="shared" si="13"/>
        <v xml:space="preserve">LULULEMON </v>
      </c>
      <c r="C868" s="601" t="str">
        <f>MID(Table3[[#This Row],[Statement Code]],FIND("- ",Table3[[#This Row],[Statement Code]])+2,100)</f>
        <v>MARKET CAPITALIZATION</v>
      </c>
      <c r="D868" s="602" t="s">
        <v>2053</v>
      </c>
      <c r="E868" s="601" t="s">
        <v>1957</v>
      </c>
      <c r="F868" s="601" t="s">
        <v>551</v>
      </c>
      <c r="G868" s="601">
        <v>31145167</v>
      </c>
      <c r="H868" s="601">
        <v>41537905</v>
      </c>
      <c r="I868" s="601">
        <v>40612198</v>
      </c>
      <c r="J868" s="601">
        <v>39668509</v>
      </c>
      <c r="K868" s="601">
        <v>60150419</v>
      </c>
      <c r="L868" s="601" t="s">
        <v>23</v>
      </c>
    </row>
    <row r="869" spans="1:12" hidden="1">
      <c r="A869" s="601" t="s">
        <v>2054</v>
      </c>
      <c r="B869" s="601" t="str">
        <f t="shared" si="13"/>
        <v xml:space="preserve">LULULEMON </v>
      </c>
      <c r="C869" s="601" t="str">
        <f>MID(Table3[[#This Row],[Statement Code]],FIND("- ",Table3[[#This Row],[Statement Code]])+2,100)</f>
        <v>NET CASH FLOW - FINANCING</v>
      </c>
      <c r="D869" s="602" t="s">
        <v>2055</v>
      </c>
      <c r="E869" s="601" t="s">
        <v>1957</v>
      </c>
      <c r="F869" s="601" t="s">
        <v>551</v>
      </c>
      <c r="G869" s="601">
        <v>-177118</v>
      </c>
      <c r="H869" s="601">
        <v>-81828</v>
      </c>
      <c r="I869" s="601">
        <v>-829781</v>
      </c>
      <c r="J869" s="601">
        <v>-460702</v>
      </c>
      <c r="K869" s="601">
        <v>-548778</v>
      </c>
      <c r="L869" s="601" t="s">
        <v>23</v>
      </c>
    </row>
    <row r="870" spans="1:12" hidden="1">
      <c r="A870" s="601" t="s">
        <v>2056</v>
      </c>
      <c r="B870" s="601" t="str">
        <f t="shared" si="13"/>
        <v xml:space="preserve">LULULEMON </v>
      </c>
      <c r="C870" s="601" t="str">
        <f>MID(Table3[[#This Row],[Statement Code]],FIND("- ",Table3[[#This Row],[Statement Code]])+2,100)</f>
        <v>NET CASH FLOW - INVESTING</v>
      </c>
      <c r="D870" s="602" t="s">
        <v>2057</v>
      </c>
      <c r="E870" s="601" t="s">
        <v>1957</v>
      </c>
      <c r="F870" s="601" t="s">
        <v>551</v>
      </c>
      <c r="G870" s="601">
        <v>278322</v>
      </c>
      <c r="H870" s="601">
        <v>704487</v>
      </c>
      <c r="I870" s="601">
        <v>420191</v>
      </c>
      <c r="J870" s="601">
        <v>561665</v>
      </c>
      <c r="K870" s="601">
        <v>654073</v>
      </c>
      <c r="L870" s="601" t="s">
        <v>23</v>
      </c>
    </row>
    <row r="871" spans="1:12" hidden="1">
      <c r="A871" s="601" t="s">
        <v>2058</v>
      </c>
      <c r="B871" s="601" t="str">
        <f t="shared" si="13"/>
        <v xml:space="preserve">LULULEMON </v>
      </c>
      <c r="C871" s="601" t="str">
        <f>MID(Table3[[#This Row],[Statement Code]],FIND("- ",Table3[[#This Row],[Statement Code]])+2,100)</f>
        <v>NET CASH FLOW-OPERATING ACTIVS</v>
      </c>
      <c r="D871" s="602" t="s">
        <v>2059</v>
      </c>
      <c r="E871" s="601" t="s">
        <v>1957</v>
      </c>
      <c r="F871" s="601" t="s">
        <v>551</v>
      </c>
      <c r="G871" s="601">
        <v>669108</v>
      </c>
      <c r="H871" s="601">
        <v>813679</v>
      </c>
      <c r="I871" s="601">
        <v>1364111</v>
      </c>
      <c r="J871" s="601">
        <v>952436</v>
      </c>
      <c r="K871" s="601">
        <v>2295956</v>
      </c>
      <c r="L871" s="601" t="s">
        <v>23</v>
      </c>
    </row>
    <row r="872" spans="1:12" hidden="1">
      <c r="A872" s="601" t="s">
        <v>2060</v>
      </c>
      <c r="B872" s="601" t="str">
        <f t="shared" si="13"/>
        <v xml:space="preserve">LULULEMON </v>
      </c>
      <c r="C872" s="601" t="str">
        <f>MID(Table3[[#This Row],[Statement Code]],FIND("- ",Table3[[#This Row],[Statement Code]])+2,100)</f>
        <v>NET DEBT</v>
      </c>
      <c r="D872" s="602" t="s">
        <v>2061</v>
      </c>
      <c r="E872" s="601" t="s">
        <v>1957</v>
      </c>
      <c r="F872" s="601" t="s">
        <v>551</v>
      </c>
      <c r="G872" s="601">
        <v>-1104559</v>
      </c>
      <c r="H872" s="601">
        <v>-1132267</v>
      </c>
      <c r="I872" s="601">
        <v>-1274494</v>
      </c>
      <c r="J872" s="601">
        <v>-1174270</v>
      </c>
      <c r="K872" s="601">
        <v>-2223566</v>
      </c>
      <c r="L872" s="601" t="s">
        <v>23</v>
      </c>
    </row>
    <row r="873" spans="1:12">
      <c r="A873" s="601" t="s">
        <v>2062</v>
      </c>
      <c r="B873" s="601" t="str">
        <f t="shared" si="13"/>
        <v xml:space="preserve">LULULEMON </v>
      </c>
      <c r="C873" s="601" t="str">
        <f>MID(Table3[[#This Row],[Statement Code]],FIND("- ",Table3[[#This Row],[Statement Code]])+2,100)</f>
        <v>NET INCOME - DILUTED</v>
      </c>
      <c r="D873" s="602" t="s">
        <v>2063</v>
      </c>
      <c r="E873" s="601" t="s">
        <v>1957</v>
      </c>
      <c r="F873" s="601" t="s">
        <v>551</v>
      </c>
      <c r="G873" s="601">
        <v>645396</v>
      </c>
      <c r="H873" s="601">
        <v>596495</v>
      </c>
      <c r="I873" s="601">
        <v>957771</v>
      </c>
      <c r="J873" s="601">
        <v>842393</v>
      </c>
      <c r="K873" s="601">
        <v>1550050</v>
      </c>
      <c r="L873" s="601" t="s">
        <v>23</v>
      </c>
    </row>
    <row r="874" spans="1:12">
      <c r="A874" s="601" t="s">
        <v>2064</v>
      </c>
      <c r="B874" s="601" t="str">
        <f t="shared" si="13"/>
        <v xml:space="preserve">LULULEMON </v>
      </c>
      <c r="C874" s="601" t="str">
        <f>MID(Table3[[#This Row],[Statement Code]],FIND("- ",Table3[[#This Row],[Statement Code]])+2,100)</f>
        <v>NET SALES OR REVENUES</v>
      </c>
      <c r="D874" s="602" t="s">
        <v>2065</v>
      </c>
      <c r="E874" s="601" t="s">
        <v>1957</v>
      </c>
      <c r="F874" s="601" t="s">
        <v>551</v>
      </c>
      <c r="G874" s="601">
        <v>3978061</v>
      </c>
      <c r="H874" s="601">
        <v>4458555</v>
      </c>
      <c r="I874" s="601">
        <v>6144028</v>
      </c>
      <c r="J874" s="601">
        <v>7992800</v>
      </c>
      <c r="K874" s="601">
        <v>9618406</v>
      </c>
      <c r="L874" s="601" t="s">
        <v>23</v>
      </c>
    </row>
    <row r="875" spans="1:12" hidden="1">
      <c r="A875" s="601" t="s">
        <v>2066</v>
      </c>
      <c r="B875" s="601" t="str">
        <f t="shared" si="13"/>
        <v xml:space="preserve">LULULEMON </v>
      </c>
      <c r="C875" s="601" t="str">
        <f>MID(Table3[[#This Row],[Statement Code]],FIND("- ",Table3[[#This Row],[Statement Code]])+2,100)</f>
        <v>NON-OPERATING INTEREST INCOME</v>
      </c>
      <c r="D875" s="602" t="s">
        <v>2067</v>
      </c>
      <c r="E875" s="601" t="s">
        <v>1957</v>
      </c>
      <c r="F875" s="601" t="s">
        <v>551</v>
      </c>
      <c r="G875" s="601">
        <v>0</v>
      </c>
      <c r="H875" s="601">
        <v>0</v>
      </c>
      <c r="I875" s="601">
        <v>0</v>
      </c>
      <c r="J875" s="601">
        <v>0</v>
      </c>
      <c r="K875" s="601" t="s">
        <v>23</v>
      </c>
      <c r="L875" s="601" t="s">
        <v>23</v>
      </c>
    </row>
    <row r="876" spans="1:12" hidden="1">
      <c r="A876" s="601" t="s">
        <v>2068</v>
      </c>
      <c r="B876" s="601" t="str">
        <f t="shared" si="13"/>
        <v xml:space="preserve">LULULEMON </v>
      </c>
      <c r="C876" s="601" t="str">
        <f>MID(Table3[[#This Row],[Statement Code]],FIND("- ",Table3[[#This Row],[Statement Code]])+2,100)</f>
        <v>OPERATING EXPENSES - TOTAL</v>
      </c>
      <c r="D876" s="602" t="s">
        <v>2069</v>
      </c>
      <c r="E876" s="601" t="s">
        <v>1957</v>
      </c>
      <c r="F876" s="601" t="s">
        <v>551</v>
      </c>
      <c r="G876" s="601">
        <v>3087720</v>
      </c>
      <c r="H876" s="601">
        <v>3597785</v>
      </c>
      <c r="I876" s="601">
        <v>4794017</v>
      </c>
      <c r="J876" s="601">
        <v>6291713</v>
      </c>
      <c r="K876" s="601">
        <v>7411429</v>
      </c>
      <c r="L876" s="601" t="s">
        <v>23</v>
      </c>
    </row>
    <row r="877" spans="1:12">
      <c r="A877" s="601" t="s">
        <v>2070</v>
      </c>
      <c r="B877" s="601" t="str">
        <f t="shared" si="13"/>
        <v xml:space="preserve">LULULEMON </v>
      </c>
      <c r="C877" s="601" t="str">
        <f>MID(Table3[[#This Row],[Statement Code]],FIND("- ",Table3[[#This Row],[Statement Code]])+2,100)</f>
        <v>OPERATING INCOME</v>
      </c>
      <c r="D877" s="602" t="s">
        <v>2071</v>
      </c>
      <c r="E877" s="601" t="s">
        <v>1957</v>
      </c>
      <c r="F877" s="601" t="s">
        <v>551</v>
      </c>
      <c r="G877" s="601">
        <v>890342</v>
      </c>
      <c r="H877" s="601">
        <v>860770</v>
      </c>
      <c r="I877" s="601">
        <v>1350010</v>
      </c>
      <c r="J877" s="601">
        <v>1701087</v>
      </c>
      <c r="K877" s="601">
        <v>2206977</v>
      </c>
      <c r="L877" s="601" t="s">
        <v>23</v>
      </c>
    </row>
    <row r="878" spans="1:12" hidden="1">
      <c r="A878" s="601" t="s">
        <v>2072</v>
      </c>
      <c r="B878" s="601" t="str">
        <f t="shared" si="13"/>
        <v xml:space="preserve">LULULEMON </v>
      </c>
      <c r="C878" s="601" t="str">
        <f>MID(Table3[[#This Row],[Statement Code]],FIND("- ",Table3[[#This Row],[Statement Code]])+2,100)</f>
        <v>PRETAX INCOME</v>
      </c>
      <c r="D878" s="602" t="s">
        <v>2073</v>
      </c>
      <c r="E878" s="601" t="s">
        <v>1957</v>
      </c>
      <c r="F878" s="601" t="s">
        <v>551</v>
      </c>
      <c r="G878" s="601">
        <v>897115</v>
      </c>
      <c r="H878" s="601">
        <v>829899</v>
      </c>
      <c r="I878" s="601">
        <v>1309866</v>
      </c>
      <c r="J878" s="601">
        <v>1313230</v>
      </c>
      <c r="K878" s="601">
        <v>2175538</v>
      </c>
      <c r="L878" s="601" t="s">
        <v>23</v>
      </c>
    </row>
    <row r="879" spans="1:12" hidden="1">
      <c r="A879" s="601" t="s">
        <v>2074</v>
      </c>
      <c r="B879" s="601" t="str">
        <f t="shared" si="13"/>
        <v xml:space="preserve">LULULEMON </v>
      </c>
      <c r="C879" s="601" t="str">
        <f>MID(Table3[[#This Row],[Statement Code]],FIND("- ",Table3[[#This Row],[Statement Code]])+2,100)</f>
        <v>PROPERTY, PLANT &amp; EQUIP - NET</v>
      </c>
      <c r="D879" s="602" t="s">
        <v>2075</v>
      </c>
      <c r="E879" s="601" t="s">
        <v>1957</v>
      </c>
      <c r="F879" s="601" t="s">
        <v>551</v>
      </c>
      <c r="G879" s="601">
        <v>678523</v>
      </c>
      <c r="H879" s="601">
        <v>1435374</v>
      </c>
      <c r="I879" s="601">
        <v>1725224</v>
      </c>
      <c r="J879" s="601">
        <v>2244185</v>
      </c>
      <c r="K879" s="601">
        <v>2798518</v>
      </c>
      <c r="L879" s="601" t="s">
        <v>23</v>
      </c>
    </row>
    <row r="880" spans="1:12" hidden="1">
      <c r="A880" s="601" t="s">
        <v>2076</v>
      </c>
      <c r="B880" s="601" t="str">
        <f t="shared" si="13"/>
        <v xml:space="preserve">LULULEMON </v>
      </c>
      <c r="C880" s="601" t="str">
        <f>MID(Table3[[#This Row],[Statement Code]],FIND("- ",Table3[[#This Row],[Statement Code]])+2,100)</f>
        <v>RECEIVABLES(NET)</v>
      </c>
      <c r="D880" s="602" t="s">
        <v>2077</v>
      </c>
      <c r="E880" s="601" t="s">
        <v>1957</v>
      </c>
      <c r="F880" s="601" t="s">
        <v>551</v>
      </c>
      <c r="G880" s="601">
        <v>40628</v>
      </c>
      <c r="H880" s="601">
        <v>73399</v>
      </c>
      <c r="I880" s="601">
        <v>76733</v>
      </c>
      <c r="J880" s="601">
        <v>133212</v>
      </c>
      <c r="K880" s="601">
        <v>124196</v>
      </c>
      <c r="L880" s="601" t="s">
        <v>23</v>
      </c>
    </row>
    <row r="881" spans="1:12" hidden="1">
      <c r="A881" s="601" t="s">
        <v>2078</v>
      </c>
      <c r="B881" s="601" t="str">
        <f t="shared" si="13"/>
        <v xml:space="preserve">LULULEMON </v>
      </c>
      <c r="C881" s="601" t="str">
        <f>MID(Table3[[#This Row],[Statement Code]],FIND("- ",Table3[[#This Row],[Statement Code]])+2,100)</f>
        <v>RESEARCH &amp; DEVELOPMENT</v>
      </c>
      <c r="D881" s="602" t="s">
        <v>2079</v>
      </c>
      <c r="E881" s="601" t="s">
        <v>1957</v>
      </c>
      <c r="F881" s="601" t="s">
        <v>551</v>
      </c>
      <c r="G881" s="601">
        <v>0</v>
      </c>
      <c r="H881" s="601">
        <v>0</v>
      </c>
      <c r="I881" s="601" t="s">
        <v>23</v>
      </c>
      <c r="J881" s="601" t="s">
        <v>23</v>
      </c>
      <c r="K881" s="601" t="s">
        <v>23</v>
      </c>
      <c r="L881" s="601" t="s">
        <v>23</v>
      </c>
    </row>
    <row r="882" spans="1:12">
      <c r="A882" s="601" t="s">
        <v>2080</v>
      </c>
      <c r="B882" s="601" t="str">
        <f t="shared" si="13"/>
        <v xml:space="preserve">LULULEMON </v>
      </c>
      <c r="C882" s="601" t="str">
        <f>MID(Table3[[#This Row],[Statement Code]],FIND("- ",Table3[[#This Row],[Statement Code]])+2,100)</f>
        <v>SELLING, GENERAL &amp; ADMINISTRAT</v>
      </c>
      <c r="D882" s="602" t="s">
        <v>2081</v>
      </c>
      <c r="E882" s="601" t="s">
        <v>1957</v>
      </c>
      <c r="F882" s="601" t="s">
        <v>551</v>
      </c>
      <c r="G882" s="601">
        <v>1332355</v>
      </c>
      <c r="H882" s="601">
        <v>1629719</v>
      </c>
      <c r="I882" s="601">
        <v>2184994</v>
      </c>
      <c r="J882" s="601">
        <v>2717425</v>
      </c>
      <c r="K882" s="601">
        <v>3396910</v>
      </c>
      <c r="L882" s="601" t="s">
        <v>23</v>
      </c>
    </row>
    <row r="883" spans="1:12" hidden="1">
      <c r="A883" s="601" t="s">
        <v>2082</v>
      </c>
      <c r="B883" s="601" t="str">
        <f t="shared" si="13"/>
        <v xml:space="preserve">LULULEMON </v>
      </c>
      <c r="C883" s="601" t="str">
        <f>MID(Table3[[#This Row],[Statement Code]],FIND("- ",Table3[[#This Row],[Statement Code]])+2,100)</f>
        <v>SHORT TERM DEBT &amp; CURRENT PORT</v>
      </c>
      <c r="D883" s="602" t="s">
        <v>2083</v>
      </c>
      <c r="E883" s="601" t="s">
        <v>1957</v>
      </c>
      <c r="F883" s="601" t="s">
        <v>551</v>
      </c>
      <c r="G883" s="601">
        <v>1818</v>
      </c>
      <c r="H883" s="601">
        <v>0</v>
      </c>
      <c r="I883" s="601">
        <v>0</v>
      </c>
      <c r="J883" s="601">
        <v>0</v>
      </c>
      <c r="K883" s="601">
        <v>10750</v>
      </c>
      <c r="L883" s="601" t="s">
        <v>23</v>
      </c>
    </row>
    <row r="884" spans="1:12">
      <c r="A884" s="601" t="s">
        <v>2084</v>
      </c>
      <c r="B884" s="601" t="str">
        <f t="shared" si="13"/>
        <v xml:space="preserve">LULULEMON </v>
      </c>
      <c r="C884" s="601" t="str">
        <f>MID(Table3[[#This Row],[Statement Code]],FIND("- ",Table3[[#This Row],[Statement Code]])+2,100)</f>
        <v>TOTAL ASSETS</v>
      </c>
      <c r="D884" s="602" t="s">
        <v>2085</v>
      </c>
      <c r="E884" s="601" t="s">
        <v>1957</v>
      </c>
      <c r="F884" s="601" t="s">
        <v>551</v>
      </c>
      <c r="G884" s="601">
        <v>3282965</v>
      </c>
      <c r="H884" s="601">
        <v>4051063</v>
      </c>
      <c r="I884" s="601">
        <v>4919195</v>
      </c>
      <c r="J884" s="601">
        <v>5613524</v>
      </c>
      <c r="K884" s="601">
        <v>7050258</v>
      </c>
      <c r="L884" s="601" t="s">
        <v>23</v>
      </c>
    </row>
    <row r="885" spans="1:12" hidden="1">
      <c r="A885" s="601" t="s">
        <v>2086</v>
      </c>
      <c r="B885" s="601" t="str">
        <f t="shared" si="13"/>
        <v xml:space="preserve">LULULEMON </v>
      </c>
      <c r="C885" s="601" t="str">
        <f>MID(Table3[[#This Row],[Statement Code]],FIND("- ",Table3[[#This Row],[Statement Code]])+2,100)</f>
        <v>TOTAL CAPITAL</v>
      </c>
      <c r="D885" s="602" t="s">
        <v>2087</v>
      </c>
      <c r="E885" s="601" t="s">
        <v>1957</v>
      </c>
      <c r="F885" s="601" t="s">
        <v>551</v>
      </c>
      <c r="G885" s="601">
        <v>1972069</v>
      </c>
      <c r="H885" s="601">
        <v>2480544</v>
      </c>
      <c r="I885" s="601">
        <v>2730503</v>
      </c>
      <c r="J885" s="601">
        <v>3156045</v>
      </c>
      <c r="K885" s="601">
        <v>4212657</v>
      </c>
      <c r="L885" s="601" t="s">
        <v>23</v>
      </c>
    </row>
    <row r="886" spans="1:12">
      <c r="A886" s="601" t="s">
        <v>2088</v>
      </c>
      <c r="B886" s="601" t="str">
        <f t="shared" si="13"/>
        <v xml:space="preserve">LULULEMON </v>
      </c>
      <c r="C886" s="601" t="str">
        <f>MID(Table3[[#This Row],[Statement Code]],FIND("- ",Table3[[#This Row],[Statement Code]])+2,100)</f>
        <v>TOTAL DEBT</v>
      </c>
      <c r="D886" s="602" t="s">
        <v>2089</v>
      </c>
      <c r="E886" s="601" t="s">
        <v>1957</v>
      </c>
      <c r="F886" s="601" t="s">
        <v>551</v>
      </c>
      <c r="G886" s="601">
        <v>1818</v>
      </c>
      <c r="H886" s="601">
        <v>0</v>
      </c>
      <c r="I886" s="601">
        <v>0</v>
      </c>
      <c r="J886" s="601">
        <v>0</v>
      </c>
      <c r="K886" s="601">
        <v>10750</v>
      </c>
      <c r="L886" s="601" t="s">
        <v>23</v>
      </c>
    </row>
    <row r="887" spans="1:12" hidden="1">
      <c r="A887" s="601" t="s">
        <v>2090</v>
      </c>
      <c r="B887" s="601" t="str">
        <f t="shared" si="13"/>
        <v xml:space="preserve">LULULEMON </v>
      </c>
      <c r="C887" s="601" t="str">
        <f>MID(Table3[[#This Row],[Statement Code]],FIND("- ",Table3[[#This Row],[Statement Code]])+2,100)</f>
        <v>TOTAL INTANGIBLE OT ASSETS-NET</v>
      </c>
      <c r="D887" s="602" t="s">
        <v>2091</v>
      </c>
      <c r="E887" s="601" t="s">
        <v>1957</v>
      </c>
      <c r="F887" s="601" t="s">
        <v>551</v>
      </c>
      <c r="G887" s="601">
        <v>721348</v>
      </c>
      <c r="H887" s="601">
        <v>452717</v>
      </c>
      <c r="I887" s="601">
        <v>456583</v>
      </c>
      <c r="J887" s="601">
        <v>46211</v>
      </c>
      <c r="K887" s="601">
        <v>23972</v>
      </c>
      <c r="L887" s="601" t="s">
        <v>23</v>
      </c>
    </row>
    <row r="888" spans="1:12">
      <c r="A888" s="601" t="s">
        <v>2092</v>
      </c>
      <c r="B888" s="601" t="str">
        <f t="shared" si="13"/>
        <v xml:space="preserve">LULULEMON </v>
      </c>
      <c r="C888" s="601" t="str">
        <f>MID(Table3[[#This Row],[Statement Code]],FIND("- ",Table3[[#This Row],[Statement Code]])+2,100)</f>
        <v>TOTAL LIABILITIES</v>
      </c>
      <c r="D888" s="602" t="s">
        <v>2093</v>
      </c>
      <c r="E888" s="601" t="s">
        <v>1957</v>
      </c>
      <c r="F888" s="601" t="s">
        <v>551</v>
      </c>
      <c r="G888" s="601">
        <v>1310897</v>
      </c>
      <c r="H888" s="601">
        <v>1570519</v>
      </c>
      <c r="I888" s="601">
        <v>2188692</v>
      </c>
      <c r="J888" s="601">
        <v>2457479</v>
      </c>
      <c r="K888" s="601">
        <v>2837601</v>
      </c>
      <c r="L888" s="601" t="s">
        <v>23</v>
      </c>
    </row>
    <row r="889" spans="1:12" hidden="1">
      <c r="A889" s="601" t="s">
        <v>2094</v>
      </c>
      <c r="B889" s="601" t="str">
        <f t="shared" si="13"/>
        <v xml:space="preserve">LULULEMON </v>
      </c>
      <c r="C889" s="601" t="str">
        <f>MID(Table3[[#This Row],[Statement Code]],FIND("- ",Table3[[#This Row],[Statement Code]])+2,100)</f>
        <v>TOTAL LIABILITIES &amp; SHAREHOLDE</v>
      </c>
      <c r="D889" s="602" t="s">
        <v>2095</v>
      </c>
      <c r="E889" s="601" t="s">
        <v>1957</v>
      </c>
      <c r="F889" s="601" t="s">
        <v>551</v>
      </c>
      <c r="G889" s="601">
        <v>3282965</v>
      </c>
      <c r="H889" s="601">
        <v>4051063</v>
      </c>
      <c r="I889" s="601">
        <v>4919195</v>
      </c>
      <c r="J889" s="601">
        <v>5613524</v>
      </c>
      <c r="K889" s="601">
        <v>7050258</v>
      </c>
      <c r="L889" s="601" t="s">
        <v>23</v>
      </c>
    </row>
    <row r="890" spans="1:12" hidden="1">
      <c r="A890" s="601" t="s">
        <v>2096</v>
      </c>
      <c r="B890" s="601" t="str">
        <f t="shared" si="13"/>
        <v xml:space="preserve">LULULEMON </v>
      </c>
      <c r="C890" s="601" t="str">
        <f>MID(Table3[[#This Row],[Statement Code]],FIND("- ",Table3[[#This Row],[Statement Code]])+2,100)</f>
        <v>TOTAL SHAREHOLDERS EQUITY</v>
      </c>
      <c r="D890" s="602" t="s">
        <v>2097</v>
      </c>
      <c r="E890" s="601" t="s">
        <v>1957</v>
      </c>
      <c r="F890" s="601" t="s">
        <v>551</v>
      </c>
      <c r="G890" s="601">
        <v>1972069</v>
      </c>
      <c r="H890" s="601">
        <v>2480544</v>
      </c>
      <c r="I890" s="601">
        <v>2730503</v>
      </c>
      <c r="J890" s="601">
        <v>3156045</v>
      </c>
      <c r="K890" s="601">
        <v>4212657</v>
      </c>
      <c r="L890" s="601" t="s">
        <v>23</v>
      </c>
    </row>
    <row r="891" spans="1:12" hidden="1">
      <c r="A891" s="601" t="s">
        <v>2098</v>
      </c>
      <c r="B891" s="601" t="str">
        <f t="shared" si="13"/>
        <v xml:space="preserve">LULULEMON </v>
      </c>
      <c r="C891" s="601" t="str">
        <f>MID(Table3[[#This Row],[Statement Code]],FIND("- ",Table3[[#This Row],[Statement Code]])+2,100)</f>
        <v>WORKING CAPITAL</v>
      </c>
      <c r="D891" s="602" t="s">
        <v>2099</v>
      </c>
      <c r="E891" s="601" t="s">
        <v>1957</v>
      </c>
      <c r="F891" s="601" t="s">
        <v>551</v>
      </c>
      <c r="G891" s="601">
        <v>1237328</v>
      </c>
      <c r="H891" s="601">
        <v>1203351</v>
      </c>
      <c r="I891" s="601">
        <v>1205307</v>
      </c>
      <c r="J891" s="601">
        <v>1671092</v>
      </c>
      <c r="K891" s="601">
        <v>2418166</v>
      </c>
      <c r="L891" s="601" t="s">
        <v>23</v>
      </c>
    </row>
    <row r="892" spans="1:12" hidden="1">
      <c r="A892" s="601" t="s">
        <v>2100</v>
      </c>
      <c r="B892" s="601" t="str">
        <f t="shared" si="13"/>
        <v xml:space="preserve">LULULEMON </v>
      </c>
      <c r="C892" s="601" t="str">
        <f>MID(Table3[[#This Row],[Statement Code]],FIND("- ",Table3[[#This Row],[Statement Code]])+2,100)</f>
        <v>BK VAL PS 12M FWD</v>
      </c>
      <c r="D892" s="602" t="s">
        <v>2101</v>
      </c>
      <c r="E892" s="601" t="s">
        <v>1957</v>
      </c>
      <c r="F892" s="601" t="s">
        <v>551</v>
      </c>
      <c r="G892" s="601">
        <v>14.02</v>
      </c>
      <c r="H892" s="601">
        <v>20.190000000000001</v>
      </c>
      <c r="I892" s="601">
        <v>27.61</v>
      </c>
      <c r="J892" s="601">
        <v>31.93</v>
      </c>
      <c r="K892" s="601">
        <v>38.29</v>
      </c>
      <c r="L892" s="601">
        <v>44.57</v>
      </c>
    </row>
    <row r="893" spans="1:12" hidden="1">
      <c r="A893" s="601" t="s">
        <v>2102</v>
      </c>
      <c r="B893" s="601" t="str">
        <f t="shared" si="13"/>
        <v xml:space="preserve">LULULEMON </v>
      </c>
      <c r="C893" s="601" t="str">
        <f>MID(Table3[[#This Row],[Statement Code]],FIND("- ",Table3[[#This Row],[Statement Code]])+2,100)</f>
        <v>EV 12M FWD</v>
      </c>
      <c r="D893" s="602" t="s">
        <v>2103</v>
      </c>
      <c r="E893" s="601" t="s">
        <v>1957</v>
      </c>
      <c r="F893" s="601" t="s">
        <v>551</v>
      </c>
      <c r="G893" s="601">
        <v>22352110</v>
      </c>
      <c r="H893" s="601">
        <v>43118340</v>
      </c>
      <c r="I893" s="601">
        <v>51611490</v>
      </c>
      <c r="J893" s="601">
        <v>41929200</v>
      </c>
      <c r="K893" s="601">
        <v>47935790</v>
      </c>
      <c r="L893" s="601">
        <v>32934940</v>
      </c>
    </row>
    <row r="894" spans="1:12" hidden="1">
      <c r="A894" s="601" t="s">
        <v>2104</v>
      </c>
      <c r="B894" s="601" t="str">
        <f t="shared" si="13"/>
        <v xml:space="preserve">LULULEMON </v>
      </c>
      <c r="C894" s="601" t="str">
        <f>MID(Table3[[#This Row],[Statement Code]],FIND("- ",Table3[[#This Row],[Statement Code]])+2,100)</f>
        <v>NET INCOME 12M FWD</v>
      </c>
      <c r="D894" s="602" t="s">
        <v>2105</v>
      </c>
      <c r="E894" s="601" t="s">
        <v>1957</v>
      </c>
      <c r="F894" s="601" t="s">
        <v>551</v>
      </c>
      <c r="G894" s="601">
        <v>668216.80000000005</v>
      </c>
      <c r="H894" s="601">
        <v>741946.8</v>
      </c>
      <c r="I894" s="601">
        <v>1085833</v>
      </c>
      <c r="J894" s="601">
        <v>1385223</v>
      </c>
      <c r="K894" s="601">
        <v>1685737</v>
      </c>
      <c r="L894" s="601">
        <v>1790713</v>
      </c>
    </row>
    <row r="895" spans="1:12" hidden="1">
      <c r="A895" s="601" t="s">
        <v>2106</v>
      </c>
      <c r="B895" s="601" t="str">
        <f t="shared" si="13"/>
        <v xml:space="preserve">LULULEMON </v>
      </c>
      <c r="C895" s="601" t="str">
        <f>MID(Table3[[#This Row],[Statement Code]],FIND("- ",Table3[[#This Row],[Statement Code]])+2,100)</f>
        <v>PRETAX PRF 12M FWD</v>
      </c>
      <c r="D895" s="602" t="s">
        <v>2107</v>
      </c>
      <c r="E895" s="601" t="s">
        <v>1957</v>
      </c>
      <c r="F895" s="601" t="s">
        <v>551</v>
      </c>
      <c r="G895" s="601">
        <v>926954.4</v>
      </c>
      <c r="H895" s="601">
        <v>1029297</v>
      </c>
      <c r="I895" s="601">
        <v>1496410</v>
      </c>
      <c r="J895" s="601">
        <v>1938943</v>
      </c>
      <c r="K895" s="601">
        <v>2400663</v>
      </c>
      <c r="L895" s="601">
        <v>2553139</v>
      </c>
    </row>
    <row r="896" spans="1:12" hidden="1">
      <c r="A896" s="601" t="s">
        <v>2108</v>
      </c>
      <c r="B896" s="601" t="str">
        <f t="shared" si="13"/>
        <v xml:space="preserve">LULULEMON </v>
      </c>
      <c r="C896" s="601" t="str">
        <f>MID(Table3[[#This Row],[Statement Code]],FIND("- ",Table3[[#This Row],[Statement Code]])+2,100)</f>
        <v>ROE 12M FWD</v>
      </c>
      <c r="D896" s="602" t="s">
        <v>2109</v>
      </c>
      <c r="E896" s="601" t="s">
        <v>1957</v>
      </c>
      <c r="F896" s="601" t="s">
        <v>551</v>
      </c>
      <c r="G896" s="601">
        <v>42.19</v>
      </c>
      <c r="H896" s="601">
        <v>30.55</v>
      </c>
      <c r="I896" s="601">
        <v>33.799999999999997</v>
      </c>
      <c r="J896" s="601">
        <v>39.03</v>
      </c>
      <c r="K896" s="601">
        <v>40.01</v>
      </c>
      <c r="L896" s="601">
        <v>35.67</v>
      </c>
    </row>
    <row r="897" spans="1:12" hidden="1">
      <c r="A897" s="601" t="s">
        <v>2110</v>
      </c>
      <c r="B897" s="601" t="str">
        <f t="shared" si="13"/>
        <v xml:space="preserve">LULULEMON </v>
      </c>
      <c r="C897" s="601" t="str">
        <f>MID(Table3[[#This Row],[Statement Code]],FIND("- ",Table3[[#This Row],[Statement Code]])+2,100)</f>
        <v>SALES 12M FWD</v>
      </c>
      <c r="D897" s="602" t="s">
        <v>2111</v>
      </c>
      <c r="E897" s="601" t="s">
        <v>1957</v>
      </c>
      <c r="F897" s="601" t="s">
        <v>551</v>
      </c>
      <c r="G897" s="601">
        <v>4122391</v>
      </c>
      <c r="H897" s="601">
        <v>4873375</v>
      </c>
      <c r="I897" s="601">
        <v>6884637</v>
      </c>
      <c r="J897" s="601">
        <v>8691609</v>
      </c>
      <c r="K897" s="601">
        <v>10431810</v>
      </c>
      <c r="L897" s="601">
        <v>10869840</v>
      </c>
    </row>
    <row r="898" spans="1:12" hidden="1">
      <c r="A898" s="601" t="s">
        <v>2112</v>
      </c>
      <c r="B898" s="601" t="str">
        <f t="shared" si="13"/>
        <v xml:space="preserve">LULULEMON </v>
      </c>
      <c r="C898" s="601" t="str">
        <f>MID(Table3[[#This Row],[Statement Code]],FIND("- ",Table3[[#This Row],[Statement Code]])+2,100)</f>
        <v>DECREASE/INCREASE RECEIVABLES</v>
      </c>
      <c r="D898" s="602" t="s">
        <v>2113</v>
      </c>
      <c r="E898" s="601" t="s">
        <v>1957</v>
      </c>
      <c r="F898" s="601" t="s">
        <v>551</v>
      </c>
      <c r="G898" s="601">
        <v>0</v>
      </c>
      <c r="H898" s="601">
        <v>0</v>
      </c>
      <c r="I898" s="601">
        <v>0</v>
      </c>
      <c r="J898" s="601">
        <v>0</v>
      </c>
      <c r="K898" s="601" t="s">
        <v>23</v>
      </c>
      <c r="L898" s="601" t="s">
        <v>23</v>
      </c>
    </row>
    <row r="899" spans="1:12" hidden="1">
      <c r="A899" s="601" t="s">
        <v>2114</v>
      </c>
      <c r="B899" s="601" t="str">
        <f t="shared" ref="B899:B962" si="14">LEFT(A899,FIND(" ",A899))</f>
        <v xml:space="preserve">LULULEMON </v>
      </c>
      <c r="C899" s="601" t="str">
        <f>MID(Table3[[#This Row],[Statement Code]],FIND("- ",Table3[[#This Row],[Statement Code]])+2,100)</f>
        <v>DECREASE/INCR OTH ASTS/LIABILT</v>
      </c>
      <c r="D899" s="602" t="s">
        <v>2115</v>
      </c>
      <c r="E899" s="601" t="s">
        <v>1957</v>
      </c>
      <c r="F899" s="601" t="s">
        <v>551</v>
      </c>
      <c r="G899" s="601">
        <v>-54539</v>
      </c>
      <c r="H899" s="601">
        <v>-103321</v>
      </c>
      <c r="I899" s="601">
        <v>34523</v>
      </c>
      <c r="J899" s="601">
        <v>-125951</v>
      </c>
      <c r="K899" s="601">
        <v>129863</v>
      </c>
      <c r="L899" s="601" t="s">
        <v>23</v>
      </c>
    </row>
    <row r="900" spans="1:12" hidden="1">
      <c r="A900" s="601" t="s">
        <v>2116</v>
      </c>
      <c r="B900" s="601" t="str">
        <f t="shared" si="14"/>
        <v xml:space="preserve">LULULEMON </v>
      </c>
      <c r="C900" s="601" t="str">
        <f>MID(Table3[[#This Row],[Statement Code]],FIND("- ",Table3[[#This Row],[Statement Code]])+2,100)</f>
        <v>DECREASE/INCREASE INVENTORIES</v>
      </c>
      <c r="D900" s="602" t="s">
        <v>2117</v>
      </c>
      <c r="E900" s="601" t="s">
        <v>1957</v>
      </c>
      <c r="F900" s="601" t="s">
        <v>551</v>
      </c>
      <c r="G900" s="601">
        <v>-117555</v>
      </c>
      <c r="H900" s="601">
        <v>-97791</v>
      </c>
      <c r="I900" s="601">
        <v>-317786</v>
      </c>
      <c r="J900" s="601">
        <v>-503100</v>
      </c>
      <c r="K900" s="601">
        <v>66578</v>
      </c>
      <c r="L900" s="601" t="s">
        <v>23</v>
      </c>
    </row>
    <row r="901" spans="1:12" hidden="1">
      <c r="A901" s="601" t="s">
        <v>2118</v>
      </c>
      <c r="B901" s="601" t="str">
        <f t="shared" si="14"/>
        <v xml:space="preserve">LULULEMON </v>
      </c>
      <c r="C901" s="601" t="str">
        <f>MID(Table3[[#This Row],[Statement Code]],FIND("- ",Table3[[#This Row],[Statement Code]])+2,100)</f>
        <v>DECREASE IN INVESTMENTS</v>
      </c>
      <c r="D901" s="602" t="s">
        <v>2119</v>
      </c>
      <c r="E901" s="601" t="s">
        <v>1957</v>
      </c>
      <c r="F901" s="601" t="s">
        <v>551</v>
      </c>
      <c r="G901" s="601">
        <v>0</v>
      </c>
      <c r="H901" s="601">
        <v>0</v>
      </c>
      <c r="I901" s="601">
        <v>0</v>
      </c>
      <c r="J901" s="601">
        <v>47110</v>
      </c>
      <c r="K901" s="601">
        <v>0</v>
      </c>
      <c r="L901" s="601" t="s">
        <v>23</v>
      </c>
    </row>
    <row r="902" spans="1:12" hidden="1">
      <c r="A902" s="601" t="s">
        <v>2120</v>
      </c>
      <c r="B902" s="601" t="str">
        <f t="shared" si="14"/>
        <v xml:space="preserve">HENNES </v>
      </c>
      <c r="C902" s="601" t="str">
        <f>MID(Table3[[#This Row],[Statement Code]],FIND("- ",Table3[[#This Row],[Statement Code]])+2,100)</f>
        <v>MARKET VALUE</v>
      </c>
      <c r="D902" s="602" t="s">
        <v>2121</v>
      </c>
      <c r="E902" s="601" t="s">
        <v>2122</v>
      </c>
      <c r="F902" s="601" t="s">
        <v>551</v>
      </c>
      <c r="G902" s="601">
        <v>28184.66</v>
      </c>
      <c r="H902" s="601">
        <v>26334.7</v>
      </c>
      <c r="I902" s="601">
        <v>29209.63</v>
      </c>
      <c r="J902" s="601">
        <v>14773.35</v>
      </c>
      <c r="K902" s="601">
        <v>20350.400000000001</v>
      </c>
      <c r="L902" s="601">
        <v>24350.720000000001</v>
      </c>
    </row>
    <row r="903" spans="1:12" hidden="1">
      <c r="A903" s="601" t="s">
        <v>2123</v>
      </c>
      <c r="B903" s="601" t="str">
        <f t="shared" si="14"/>
        <v xml:space="preserve">HENNES </v>
      </c>
      <c r="C903" s="601" t="str">
        <f>MID(Table3[[#This Row],[Statement Code]],FIND("- ",Table3[[#This Row],[Statement Code]])+2,100)</f>
        <v>PER</v>
      </c>
      <c r="D903" s="602" t="s">
        <v>2124</v>
      </c>
      <c r="E903" s="601" t="s">
        <v>2122</v>
      </c>
      <c r="F903" s="601" t="s">
        <v>2125</v>
      </c>
      <c r="G903" s="601">
        <v>25.8</v>
      </c>
      <c r="H903" s="601">
        <v>52.2</v>
      </c>
      <c r="I903" s="601">
        <v>47.9</v>
      </c>
      <c r="J903" s="601">
        <v>13.6</v>
      </c>
      <c r="K903" s="601">
        <v>73.5</v>
      </c>
      <c r="L903" s="601">
        <v>25.5</v>
      </c>
    </row>
    <row r="904" spans="1:12" hidden="1">
      <c r="A904" s="601" t="s">
        <v>2126</v>
      </c>
      <c r="B904" s="601" t="str">
        <f t="shared" si="14"/>
        <v xml:space="preserve">HENNES </v>
      </c>
      <c r="C904" s="601" t="str">
        <f>MID(Table3[[#This Row],[Statement Code]],FIND("- ",Table3[[#This Row],[Statement Code]])+2,100)</f>
        <v>12MTH FORWARD EPS</v>
      </c>
      <c r="D904" s="602" t="s">
        <v>2127</v>
      </c>
      <c r="E904" s="601" t="s">
        <v>2122</v>
      </c>
      <c r="F904" s="601" t="s">
        <v>551</v>
      </c>
      <c r="G904" s="601">
        <v>0.83499999999999996</v>
      </c>
      <c r="H904" s="601">
        <v>0.624</v>
      </c>
      <c r="I904" s="601">
        <v>0.97899999999999998</v>
      </c>
      <c r="J904" s="601">
        <v>0.64400000000000002</v>
      </c>
      <c r="K904" s="601">
        <v>0.77200000000000002</v>
      </c>
      <c r="L904" s="601">
        <v>0.90400000000000003</v>
      </c>
    </row>
    <row r="905" spans="1:12" hidden="1">
      <c r="A905" s="601" t="s">
        <v>2128</v>
      </c>
      <c r="B905" s="601" t="str">
        <f t="shared" si="14"/>
        <v xml:space="preserve">HENNES </v>
      </c>
      <c r="C905" s="601" t="e">
        <f>MID(Table3[[#This Row],[Statement Code]],FIND("- ",Table3[[#This Row],[Statement Code]])+2,100)</f>
        <v>#VALUE!</v>
      </c>
      <c r="D905" s="602" t="s">
        <v>2129</v>
      </c>
      <c r="E905" s="601" t="s">
        <v>2122</v>
      </c>
      <c r="F905" s="601" t="s">
        <v>2125</v>
      </c>
      <c r="G905" s="601">
        <v>4.718</v>
      </c>
      <c r="H905" s="601">
        <v>3.4529999999999998</v>
      </c>
      <c r="I905" s="601">
        <v>4.8630000000000004</v>
      </c>
      <c r="J905" s="601">
        <v>6.1310000000000002</v>
      </c>
      <c r="K905" s="601">
        <v>5.0119999999999996</v>
      </c>
      <c r="L905" s="601">
        <v>5.2569999999999997</v>
      </c>
    </row>
    <row r="906" spans="1:12" hidden="1">
      <c r="A906" s="601" t="s">
        <v>2128</v>
      </c>
      <c r="B906" s="601" t="str">
        <f t="shared" si="14"/>
        <v xml:space="preserve">HENNES </v>
      </c>
      <c r="C906" s="601" t="e">
        <f>MID(Table3[[#This Row],[Statement Code]],FIND("- ",Table3[[#This Row],[Statement Code]])+2,100)</f>
        <v>#VALUE!</v>
      </c>
      <c r="D906" s="602" t="s">
        <v>2130</v>
      </c>
      <c r="E906" s="601" t="s">
        <v>2122</v>
      </c>
      <c r="F906" s="601" t="s">
        <v>23</v>
      </c>
      <c r="G906" s="601">
        <v>18.385999999999999</v>
      </c>
      <c r="H906" s="601">
        <v>27.617999999999999</v>
      </c>
      <c r="I906" s="601">
        <v>17.154</v>
      </c>
      <c r="J906" s="601">
        <v>14.89</v>
      </c>
      <c r="K906" s="601">
        <v>15.726000000000001</v>
      </c>
      <c r="L906" s="601">
        <v>15.430999999999999</v>
      </c>
    </row>
    <row r="907" spans="1:12" hidden="1">
      <c r="A907" s="601" t="s">
        <v>2128</v>
      </c>
      <c r="B907" s="601" t="str">
        <f t="shared" si="14"/>
        <v xml:space="preserve">HENNES </v>
      </c>
      <c r="C907" s="601" t="e">
        <f>MID(Table3[[#This Row],[Statement Code]],FIND("- ",Table3[[#This Row],[Statement Code]])+2,100)</f>
        <v>#VALUE!</v>
      </c>
      <c r="D907" s="602" t="s">
        <v>2131</v>
      </c>
      <c r="E907" s="601" t="s">
        <v>2122</v>
      </c>
      <c r="F907" s="601" t="s">
        <v>23</v>
      </c>
      <c r="G907" s="601">
        <v>11.148</v>
      </c>
      <c r="H907" s="601">
        <v>10.050000000000001</v>
      </c>
      <c r="I907" s="601">
        <v>7.9459999999999997</v>
      </c>
      <c r="J907" s="601">
        <v>6.5590000000000002</v>
      </c>
      <c r="K907" s="601">
        <v>7.46</v>
      </c>
      <c r="L907" s="601">
        <v>7.5149999999999997</v>
      </c>
    </row>
    <row r="908" spans="1:12" hidden="1">
      <c r="A908" s="601" t="s">
        <v>2128</v>
      </c>
      <c r="B908" s="601" t="str">
        <f t="shared" si="14"/>
        <v xml:space="preserve">HENNES </v>
      </c>
      <c r="C908" s="601" t="e">
        <f>MID(Table3[[#This Row],[Statement Code]],FIND("- ",Table3[[#This Row],[Statement Code]])+2,100)</f>
        <v>#VALUE!</v>
      </c>
      <c r="D908" s="602" t="s">
        <v>2132</v>
      </c>
      <c r="E908" s="601" t="s">
        <v>2122</v>
      </c>
      <c r="F908" s="601" t="s">
        <v>2125</v>
      </c>
      <c r="G908" s="601">
        <v>4.0209999999999999</v>
      </c>
      <c r="H908" s="601">
        <v>5.5640000000000001</v>
      </c>
      <c r="I908" s="601">
        <v>7.9649999999999999</v>
      </c>
      <c r="J908" s="601">
        <v>6.8280000000000003</v>
      </c>
      <c r="K908" s="601">
        <v>7.3540000000000001</v>
      </c>
      <c r="L908" s="601">
        <v>6.4050000000000002</v>
      </c>
    </row>
    <row r="909" spans="1:12" hidden="1">
      <c r="A909" s="601" t="s">
        <v>2128</v>
      </c>
      <c r="B909" s="601" t="str">
        <f t="shared" si="14"/>
        <v xml:space="preserve">HENNES </v>
      </c>
      <c r="C909" s="601" t="e">
        <f>MID(Table3[[#This Row],[Statement Code]],FIND("- ",Table3[[#This Row],[Statement Code]])+2,100)</f>
        <v>#VALUE!</v>
      </c>
      <c r="D909" s="602" t="s">
        <v>2133</v>
      </c>
      <c r="E909" s="601" t="s">
        <v>2122</v>
      </c>
      <c r="F909" s="601" t="s">
        <v>23</v>
      </c>
      <c r="G909" s="601">
        <v>1.333</v>
      </c>
      <c r="H909" s="601">
        <v>1.5</v>
      </c>
      <c r="I909" s="601">
        <v>1.478</v>
      </c>
      <c r="J909" s="601">
        <v>1.018</v>
      </c>
      <c r="K909" s="601">
        <v>1.234</v>
      </c>
      <c r="L909" s="601">
        <v>1.3480000000000001</v>
      </c>
    </row>
    <row r="910" spans="1:12" hidden="1">
      <c r="A910" s="601" t="s">
        <v>2128</v>
      </c>
      <c r="B910" s="601" t="str">
        <f t="shared" si="14"/>
        <v xml:space="preserve">HENNES </v>
      </c>
      <c r="C910" s="601" t="e">
        <f>MID(Table3[[#This Row],[Statement Code]],FIND("- ",Table3[[#This Row],[Statement Code]])+2,100)</f>
        <v>#VALUE!</v>
      </c>
      <c r="D910" s="602" t="s">
        <v>2134</v>
      </c>
      <c r="E910" s="601" t="s">
        <v>2122</v>
      </c>
      <c r="F910" s="601" t="s">
        <v>2125</v>
      </c>
      <c r="G910" s="601">
        <v>0.42399999999999999</v>
      </c>
      <c r="H910" s="601">
        <v>0.9</v>
      </c>
      <c r="I910" s="601">
        <v>-0.69299999999999995</v>
      </c>
      <c r="J910" s="601">
        <v>-0.67400000000000004</v>
      </c>
      <c r="K910" s="601">
        <v>-0.29799999999999999</v>
      </c>
      <c r="L910" s="601">
        <v>-0.161</v>
      </c>
    </row>
    <row r="911" spans="1:12" hidden="1">
      <c r="A911" s="601" t="s">
        <v>2128</v>
      </c>
      <c r="B911" s="601" t="str">
        <f t="shared" si="14"/>
        <v xml:space="preserve">HENNES </v>
      </c>
      <c r="C911" s="601" t="e">
        <f>MID(Table3[[#This Row],[Statement Code]],FIND("- ",Table3[[#This Row],[Statement Code]])+2,100)</f>
        <v>#VALUE!</v>
      </c>
      <c r="D911" s="602" t="s">
        <v>2135</v>
      </c>
      <c r="E911" s="601" t="s">
        <v>2122</v>
      </c>
      <c r="F911" s="601" t="s">
        <v>2125</v>
      </c>
      <c r="G911" s="601">
        <v>4.2999999999999997E-2</v>
      </c>
      <c r="H911" s="601">
        <v>0.108</v>
      </c>
      <c r="I911" s="601">
        <v>-9.2999999999999999E-2</v>
      </c>
      <c r="J911" s="601">
        <v>-0.115</v>
      </c>
      <c r="K911" s="601">
        <v>-4.2999999999999997E-2</v>
      </c>
      <c r="L911" s="601">
        <v>-2.4E-2</v>
      </c>
    </row>
    <row r="912" spans="1:12" hidden="1">
      <c r="A912" s="601" t="s">
        <v>2128</v>
      </c>
      <c r="B912" s="601" t="str">
        <f t="shared" si="14"/>
        <v xml:space="preserve">HENNES </v>
      </c>
      <c r="C912" s="601" t="e">
        <f>MID(Table3[[#This Row],[Statement Code]],FIND("- ",Table3[[#This Row],[Statement Code]])+2,100)</f>
        <v>#VALUE!</v>
      </c>
      <c r="D912" s="602" t="s">
        <v>2136</v>
      </c>
      <c r="E912" s="601" t="s">
        <v>2122</v>
      </c>
      <c r="F912" s="601" t="s">
        <v>2125</v>
      </c>
      <c r="G912" s="601">
        <v>1.4</v>
      </c>
      <c r="H912" s="601">
        <v>1.41</v>
      </c>
      <c r="I912" s="601">
        <v>0.94</v>
      </c>
      <c r="J912" s="601">
        <v>1.07</v>
      </c>
      <c r="K912" s="601">
        <v>1.41</v>
      </c>
      <c r="L912" s="601">
        <v>1.1599999999999999</v>
      </c>
    </row>
    <row r="913" spans="1:12" hidden="1">
      <c r="A913" s="601" t="s">
        <v>2128</v>
      </c>
      <c r="B913" s="601" t="str">
        <f t="shared" si="14"/>
        <v xml:space="preserve">HENNES </v>
      </c>
      <c r="C913" s="601" t="e">
        <f>MID(Table3[[#This Row],[Statement Code]],FIND("- ",Table3[[#This Row],[Statement Code]])+2,100)</f>
        <v>#VALUE!</v>
      </c>
      <c r="D913" s="602" t="s">
        <v>2137</v>
      </c>
      <c r="E913" s="601" t="s">
        <v>2122</v>
      </c>
      <c r="F913" s="601" t="s">
        <v>2125</v>
      </c>
      <c r="G913" s="601">
        <v>1</v>
      </c>
      <c r="H913" s="601">
        <v>1</v>
      </c>
      <c r="I913" s="601">
        <v>1</v>
      </c>
      <c r="J913" s="601">
        <v>1</v>
      </c>
      <c r="K913" s="601">
        <v>1</v>
      </c>
      <c r="L913" s="601">
        <v>1</v>
      </c>
    </row>
    <row r="914" spans="1:12" hidden="1">
      <c r="A914" s="601" t="s">
        <v>2128</v>
      </c>
      <c r="B914" s="601" t="str">
        <f t="shared" si="14"/>
        <v xml:space="preserve">HENNES </v>
      </c>
      <c r="C914" s="601" t="e">
        <f>MID(Table3[[#This Row],[Statement Code]],FIND("- ",Table3[[#This Row],[Statement Code]])+2,100)</f>
        <v>#VALUE!</v>
      </c>
      <c r="D914" s="602" t="s">
        <v>2138</v>
      </c>
      <c r="E914" s="601" t="s">
        <v>2122</v>
      </c>
      <c r="F914" s="601" t="s">
        <v>2125</v>
      </c>
      <c r="G914" s="601">
        <v>5.6689999999999996</v>
      </c>
      <c r="H914" s="601">
        <v>4.5679999999999996</v>
      </c>
      <c r="I914" s="601">
        <v>4.3639999999999999</v>
      </c>
      <c r="J914" s="601">
        <v>3.1030000000000002</v>
      </c>
      <c r="K914" s="601">
        <v>4.9169999999999998</v>
      </c>
      <c r="L914" s="601">
        <v>5.6420000000000003</v>
      </c>
    </row>
    <row r="915" spans="1:12">
      <c r="A915" s="601" t="s">
        <v>2139</v>
      </c>
      <c r="B915" s="601" t="str">
        <f t="shared" si="14"/>
        <v xml:space="preserve">HENNES </v>
      </c>
      <c r="C915" s="601" t="str">
        <f>MID(Table3[[#This Row],[Statement Code]],FIND("- ",Table3[[#This Row],[Statement Code]])+2,100)</f>
        <v>12MTH TRAILING EPS</v>
      </c>
      <c r="D915" s="602" t="s">
        <v>2140</v>
      </c>
      <c r="E915" s="601" t="s">
        <v>2122</v>
      </c>
      <c r="F915" s="601" t="s">
        <v>551</v>
      </c>
      <c r="G915" s="601">
        <v>0.79</v>
      </c>
      <c r="H915" s="601">
        <v>0.223</v>
      </c>
      <c r="I915" s="601">
        <v>0.59899999999999998</v>
      </c>
      <c r="J915" s="601">
        <v>0.60899999999999999</v>
      </c>
      <c r="K915" s="601">
        <v>0.495</v>
      </c>
      <c r="L915" s="601">
        <v>0.74</v>
      </c>
    </row>
    <row r="916" spans="1:12" hidden="1">
      <c r="A916" s="601" t="s">
        <v>2141</v>
      </c>
      <c r="B916" s="601" t="str">
        <f t="shared" si="14"/>
        <v xml:space="preserve">HENNES </v>
      </c>
      <c r="C916" s="601" t="str">
        <f>MID(Table3[[#This Row],[Statement Code]],FIND("- ",Table3[[#This Row],[Statement Code]])+2,100)</f>
        <v>DIV.PER SHR.</v>
      </c>
      <c r="D916" s="602" t="s">
        <v>2142</v>
      </c>
      <c r="E916" s="601" t="s">
        <v>2122</v>
      </c>
      <c r="F916" s="601" t="s">
        <v>551</v>
      </c>
      <c r="G916" s="601">
        <v>1</v>
      </c>
      <c r="H916" s="601">
        <v>0</v>
      </c>
      <c r="I916" s="601">
        <v>0</v>
      </c>
      <c r="J916" s="601">
        <v>0.61</v>
      </c>
      <c r="K916" s="601">
        <v>0.57999999999999996</v>
      </c>
      <c r="L916" s="601">
        <v>0.64</v>
      </c>
    </row>
    <row r="917" spans="1:12" hidden="1">
      <c r="A917" s="601" t="s">
        <v>2128</v>
      </c>
      <c r="B917" s="601" t="str">
        <f t="shared" si="14"/>
        <v xml:space="preserve">HENNES </v>
      </c>
      <c r="C917" s="601" t="e">
        <f>MID(Table3[[#This Row],[Statement Code]],FIND("- ",Table3[[#This Row],[Statement Code]])+2,100)</f>
        <v>#VALUE!</v>
      </c>
      <c r="D917" s="602" t="s">
        <v>2143</v>
      </c>
      <c r="E917" s="601" t="s">
        <v>2122</v>
      </c>
      <c r="F917" s="601" t="s">
        <v>2125</v>
      </c>
      <c r="G917" s="601">
        <v>5.2670000000000003</v>
      </c>
      <c r="H917" s="601">
        <v>3.5830000000000002</v>
      </c>
      <c r="I917" s="601">
        <v>4.0880000000000001</v>
      </c>
      <c r="J917" s="601">
        <v>6.1719999999999997</v>
      </c>
      <c r="K917" s="601">
        <v>4.077</v>
      </c>
      <c r="L917" s="601">
        <v>4.2549999999999999</v>
      </c>
    </row>
    <row r="918" spans="1:12" hidden="1">
      <c r="A918" s="601" t="s">
        <v>2126</v>
      </c>
      <c r="B918" s="601" t="str">
        <f t="shared" si="14"/>
        <v xml:space="preserve">HENNES </v>
      </c>
      <c r="C918" s="601" t="str">
        <f>MID(Table3[[#This Row],[Statement Code]],FIND("- ",Table3[[#This Row],[Statement Code]])+2,100)</f>
        <v>12MTH FORWARD EPS</v>
      </c>
      <c r="D918" s="602" t="s">
        <v>2127</v>
      </c>
      <c r="E918" s="601" t="s">
        <v>2122</v>
      </c>
      <c r="F918" s="601" t="s">
        <v>551</v>
      </c>
      <c r="G918" s="601">
        <v>0.83499999999999996</v>
      </c>
      <c r="H918" s="601">
        <v>0.624</v>
      </c>
      <c r="I918" s="601">
        <v>0.97899999999999998</v>
      </c>
      <c r="J918" s="601">
        <v>0.64400000000000002</v>
      </c>
      <c r="K918" s="601">
        <v>0.77200000000000002</v>
      </c>
      <c r="L918" s="601">
        <v>0.90400000000000003</v>
      </c>
    </row>
    <row r="919" spans="1:12" hidden="1">
      <c r="A919" s="601" t="s">
        <v>2123</v>
      </c>
      <c r="B919" s="601" t="str">
        <f t="shared" si="14"/>
        <v xml:space="preserve">HENNES </v>
      </c>
      <c r="C919" s="601" t="str">
        <f>MID(Table3[[#This Row],[Statement Code]],FIND("- ",Table3[[#This Row],[Statement Code]])+2,100)</f>
        <v>PER</v>
      </c>
      <c r="D919" s="602" t="s">
        <v>2124</v>
      </c>
      <c r="E919" s="601" t="s">
        <v>2122</v>
      </c>
      <c r="F919" s="601" t="s">
        <v>2125</v>
      </c>
      <c r="G919" s="601">
        <v>25.8</v>
      </c>
      <c r="H919" s="601">
        <v>52.2</v>
      </c>
      <c r="I919" s="601">
        <v>47.9</v>
      </c>
      <c r="J919" s="601">
        <v>13.6</v>
      </c>
      <c r="K919" s="601">
        <v>73.5</v>
      </c>
      <c r="L919" s="601">
        <v>25.5</v>
      </c>
    </row>
    <row r="920" spans="1:12" hidden="1">
      <c r="A920" s="601" t="s">
        <v>2120</v>
      </c>
      <c r="B920" s="601" t="str">
        <f t="shared" si="14"/>
        <v xml:space="preserve">HENNES </v>
      </c>
      <c r="C920" s="601" t="str">
        <f>MID(Table3[[#This Row],[Statement Code]],FIND("- ",Table3[[#This Row],[Statement Code]])+2,100)</f>
        <v>MARKET VALUE</v>
      </c>
      <c r="D920" s="602" t="s">
        <v>2121</v>
      </c>
      <c r="E920" s="601" t="s">
        <v>2122</v>
      </c>
      <c r="F920" s="601" t="s">
        <v>551</v>
      </c>
      <c r="G920" s="601">
        <v>28184.66</v>
      </c>
      <c r="H920" s="601">
        <v>26334.7</v>
      </c>
      <c r="I920" s="601">
        <v>29209.63</v>
      </c>
      <c r="J920" s="601">
        <v>14773.35</v>
      </c>
      <c r="K920" s="601">
        <v>20350.400000000001</v>
      </c>
      <c r="L920" s="601">
        <v>24350.720000000001</v>
      </c>
    </row>
    <row r="921" spans="1:12" hidden="1">
      <c r="A921" s="601" t="s">
        <v>2144</v>
      </c>
      <c r="B921" s="601" t="str">
        <f t="shared" si="14"/>
        <v xml:space="preserve">HENNES </v>
      </c>
      <c r="C921" s="601" t="str">
        <f>MID(Table3[[#This Row],[Statement Code]],FIND("- ",Table3[[#This Row],[Statement Code]])+2,100)</f>
        <v>EARNINGS PER SHR</v>
      </c>
      <c r="D921" s="602" t="s">
        <v>2145</v>
      </c>
      <c r="E921" s="601" t="s">
        <v>2122</v>
      </c>
      <c r="F921" s="601" t="s">
        <v>551</v>
      </c>
      <c r="G921" s="601">
        <v>0.75</v>
      </c>
      <c r="H921" s="601">
        <v>0.35</v>
      </c>
      <c r="I921" s="601">
        <v>0.42</v>
      </c>
      <c r="J921" s="601">
        <v>0.74</v>
      </c>
      <c r="K921" s="601">
        <v>0.19</v>
      </c>
      <c r="L921" s="601">
        <v>0.67</v>
      </c>
    </row>
    <row r="922" spans="1:12" hidden="1">
      <c r="A922" s="601" t="s">
        <v>2128</v>
      </c>
      <c r="B922" s="601" t="str">
        <f t="shared" si="14"/>
        <v xml:space="preserve">HENNES </v>
      </c>
      <c r="C922" s="601" t="e">
        <f>MID(Table3[[#This Row],[Statement Code]],FIND("- ",Table3[[#This Row],[Statement Code]])+2,100)</f>
        <v>#VALUE!</v>
      </c>
      <c r="D922" s="602" t="s">
        <v>2146</v>
      </c>
      <c r="E922" s="601" t="s">
        <v>2122</v>
      </c>
      <c r="F922" s="601" t="s">
        <v>23</v>
      </c>
      <c r="G922" s="601">
        <v>0.79</v>
      </c>
      <c r="H922" s="601">
        <v>1.37</v>
      </c>
      <c r="I922" s="601">
        <v>1.35</v>
      </c>
      <c r="J922" s="601">
        <v>1.23</v>
      </c>
      <c r="K922" s="601">
        <v>1.22</v>
      </c>
      <c r="L922" s="601">
        <v>1.22</v>
      </c>
    </row>
    <row r="923" spans="1:12" hidden="1">
      <c r="A923" s="601" t="s">
        <v>2128</v>
      </c>
      <c r="B923" s="601" t="str">
        <f t="shared" si="14"/>
        <v xml:space="preserve">HENNES </v>
      </c>
      <c r="C923" s="601" t="e">
        <f>MID(Table3[[#This Row],[Statement Code]],FIND("- ",Table3[[#This Row],[Statement Code]])+2,100)</f>
        <v>#VALUE!</v>
      </c>
      <c r="D923" s="602" t="s">
        <v>2147</v>
      </c>
      <c r="E923" s="601" t="s">
        <v>2122</v>
      </c>
      <c r="F923" s="601" t="s">
        <v>23</v>
      </c>
      <c r="G923" s="601">
        <v>0.24879999999999999</v>
      </c>
      <c r="H923" s="601">
        <v>0.4002</v>
      </c>
      <c r="I923" s="601">
        <v>0.40229999999999999</v>
      </c>
      <c r="J923" s="601">
        <v>0.4158</v>
      </c>
      <c r="K923" s="601">
        <v>0.4304</v>
      </c>
      <c r="L923" s="601">
        <v>0.42970000000000003</v>
      </c>
    </row>
    <row r="924" spans="1:12" hidden="1">
      <c r="A924" s="601" t="s">
        <v>2148</v>
      </c>
      <c r="B924" s="601" t="str">
        <f t="shared" si="14"/>
        <v xml:space="preserve">HENNES </v>
      </c>
      <c r="C924" s="601" t="str">
        <f>MID(Table3[[#This Row],[Statement Code]],FIND("- ",Table3[[#This Row],[Statement Code]])+2,100)</f>
        <v>ACCOUNTS PAYABLE</v>
      </c>
      <c r="D924" s="602" t="s">
        <v>2149</v>
      </c>
      <c r="E924" s="601" t="s">
        <v>2122</v>
      </c>
      <c r="F924" s="601" t="s">
        <v>551</v>
      </c>
      <c r="G924" s="601">
        <v>807904</v>
      </c>
      <c r="H924" s="601">
        <v>1086319</v>
      </c>
      <c r="I924" s="601">
        <v>2346769</v>
      </c>
      <c r="J924" s="601">
        <v>1963782</v>
      </c>
      <c r="K924" s="601">
        <v>1877892</v>
      </c>
      <c r="L924" s="601" t="s">
        <v>23</v>
      </c>
    </row>
    <row r="925" spans="1:12" hidden="1">
      <c r="A925" s="601" t="s">
        <v>2150</v>
      </c>
      <c r="B925" s="601" t="str">
        <f t="shared" si="14"/>
        <v xml:space="preserve">HENNES </v>
      </c>
      <c r="C925" s="601" t="str">
        <f>MID(Table3[[#This Row],[Statement Code]],FIND("- ",Table3[[#This Row],[Statement Code]])+2,100)</f>
        <v>AMORTIZATION OF DEFERRED CHARG</v>
      </c>
      <c r="D925" s="602" t="s">
        <v>2151</v>
      </c>
      <c r="E925" s="601" t="s">
        <v>2122</v>
      </c>
      <c r="F925" s="601" t="s">
        <v>551</v>
      </c>
      <c r="G925" s="601">
        <v>49270</v>
      </c>
      <c r="H925" s="601">
        <v>69558</v>
      </c>
      <c r="I925" s="601">
        <v>0</v>
      </c>
      <c r="J925" s="601">
        <v>0</v>
      </c>
      <c r="K925" s="601">
        <v>0</v>
      </c>
      <c r="L925" s="601" t="s">
        <v>23</v>
      </c>
    </row>
    <row r="926" spans="1:12" hidden="1">
      <c r="A926" s="601" t="s">
        <v>2152</v>
      </c>
      <c r="B926" s="601" t="str">
        <f t="shared" si="14"/>
        <v xml:space="preserve">HENNES </v>
      </c>
      <c r="C926" s="601" t="str">
        <f>MID(Table3[[#This Row],[Statement Code]],FIND("- ",Table3[[#This Row],[Statement Code]])+2,100)</f>
        <v>AMORTIZATION-INTANGIBLE ASSETS</v>
      </c>
      <c r="D926" s="602" t="s">
        <v>2153</v>
      </c>
      <c r="E926" s="601" t="s">
        <v>2122</v>
      </c>
      <c r="F926" s="601" t="s">
        <v>551</v>
      </c>
      <c r="G926" s="601">
        <v>165848</v>
      </c>
      <c r="H926" s="601" t="s">
        <v>23</v>
      </c>
      <c r="I926" s="601" t="s">
        <v>23</v>
      </c>
      <c r="J926" s="601" t="s">
        <v>23</v>
      </c>
      <c r="K926" s="601" t="s">
        <v>23</v>
      </c>
      <c r="L926" s="601" t="s">
        <v>23</v>
      </c>
    </row>
    <row r="927" spans="1:12" hidden="1">
      <c r="A927" s="601" t="s">
        <v>2154</v>
      </c>
      <c r="B927" s="601" t="str">
        <f t="shared" si="14"/>
        <v xml:space="preserve">HENNES </v>
      </c>
      <c r="C927" s="601" t="str">
        <f>MID(Table3[[#This Row],[Statement Code]],FIND("- ",Table3[[#This Row],[Statement Code]])+2,100)</f>
        <v>AMORTIZATION OF INTANGIBLES</v>
      </c>
      <c r="D927" s="602" t="s">
        <v>2155</v>
      </c>
      <c r="E927" s="601" t="s">
        <v>2122</v>
      </c>
      <c r="F927" s="601" t="s">
        <v>551</v>
      </c>
      <c r="G927" s="601">
        <v>116578</v>
      </c>
      <c r="H927" s="601">
        <v>152937</v>
      </c>
      <c r="I927" s="601">
        <v>180308</v>
      </c>
      <c r="J927" s="601">
        <v>165278</v>
      </c>
      <c r="K927" s="601">
        <v>188173</v>
      </c>
      <c r="L927" s="601" t="s">
        <v>23</v>
      </c>
    </row>
    <row r="928" spans="1:12" hidden="1">
      <c r="A928" s="601" t="s">
        <v>2156</v>
      </c>
      <c r="B928" s="601" t="str">
        <f t="shared" si="14"/>
        <v xml:space="preserve">HENNES </v>
      </c>
      <c r="C928" s="601" t="str">
        <f>MID(Table3[[#This Row],[Statement Code]],FIND("- ",Table3[[#This Row],[Statement Code]])+2,100)</f>
        <v>BOOK VALUE-OUT SHARES-FISCAL</v>
      </c>
      <c r="D928" s="602" t="s">
        <v>2157</v>
      </c>
      <c r="E928" s="601" t="s">
        <v>2122</v>
      </c>
      <c r="F928" s="601" t="s">
        <v>551</v>
      </c>
      <c r="G928" s="601">
        <v>3.5539999999999998</v>
      </c>
      <c r="H928" s="601">
        <v>3.77</v>
      </c>
      <c r="I928" s="601">
        <v>4.1749999999999998</v>
      </c>
      <c r="J928" s="601">
        <v>2.9</v>
      </c>
      <c r="K928" s="601">
        <v>2.6160000000000001</v>
      </c>
      <c r="L928" s="601" t="s">
        <v>23</v>
      </c>
    </row>
    <row r="929" spans="1:12" hidden="1">
      <c r="A929" s="601" t="s">
        <v>2158</v>
      </c>
      <c r="B929" s="601" t="str">
        <f t="shared" si="14"/>
        <v xml:space="preserve">HENNES </v>
      </c>
      <c r="C929" s="601" t="str">
        <f>MID(Table3[[#This Row],[Statement Code]],FIND("- ",Table3[[#This Row],[Statement Code]])+2,100)</f>
        <v>BOOK VALUE PER SHARE</v>
      </c>
      <c r="D929" s="602" t="s">
        <v>2159</v>
      </c>
      <c r="E929" s="601" t="s">
        <v>2122</v>
      </c>
      <c r="F929" s="601" t="s">
        <v>551</v>
      </c>
      <c r="G929" s="601">
        <v>3.5539999999999998</v>
      </c>
      <c r="H929" s="601">
        <v>3.77</v>
      </c>
      <c r="I929" s="601">
        <v>4.1749999999999998</v>
      </c>
      <c r="J929" s="601">
        <v>2.9</v>
      </c>
      <c r="K929" s="601">
        <v>2.6160000000000001</v>
      </c>
      <c r="L929" s="601" t="s">
        <v>23</v>
      </c>
    </row>
    <row r="930" spans="1:12">
      <c r="A930" s="601" t="s">
        <v>2160</v>
      </c>
      <c r="B930" s="601" t="str">
        <f t="shared" si="14"/>
        <v xml:space="preserve">HENNES </v>
      </c>
      <c r="C930" s="601" t="str">
        <f>MID(Table3[[#This Row],[Statement Code]],FIND("- ",Table3[[#This Row],[Statement Code]])+2,100)</f>
        <v>CAPITAL EXPENDITURES</v>
      </c>
      <c r="D930" s="602" t="s">
        <v>2161</v>
      </c>
      <c r="E930" s="601" t="s">
        <v>2122</v>
      </c>
      <c r="F930" s="601" t="s">
        <v>551</v>
      </c>
      <c r="G930" s="601">
        <v>761107</v>
      </c>
      <c r="H930" s="601">
        <v>411867</v>
      </c>
      <c r="I930" s="601">
        <v>313985</v>
      </c>
      <c r="J930" s="601">
        <v>421529</v>
      </c>
      <c r="K930" s="601">
        <v>713218</v>
      </c>
      <c r="L930" s="601" t="s">
        <v>23</v>
      </c>
    </row>
    <row r="931" spans="1:12" hidden="1">
      <c r="A931" s="601" t="s">
        <v>2162</v>
      </c>
      <c r="B931" s="601" t="str">
        <f t="shared" si="14"/>
        <v xml:space="preserve">HENNES </v>
      </c>
      <c r="C931" s="601" t="str">
        <f>MID(Table3[[#This Row],[Statement Code]],FIND("- ",Table3[[#This Row],[Statement Code]])+2,100)</f>
        <v>CASH</v>
      </c>
      <c r="D931" s="602" t="s">
        <v>2163</v>
      </c>
      <c r="E931" s="601" t="s">
        <v>2122</v>
      </c>
      <c r="F931" s="601" t="s">
        <v>551</v>
      </c>
      <c r="G931" s="601">
        <v>1037968</v>
      </c>
      <c r="H931" s="601">
        <v>1779503</v>
      </c>
      <c r="I931" s="601">
        <v>2859600</v>
      </c>
      <c r="J931" s="601">
        <v>2021233</v>
      </c>
      <c r="K931" s="601">
        <v>2289158</v>
      </c>
      <c r="L931" s="601" t="s">
        <v>23</v>
      </c>
    </row>
    <row r="932" spans="1:12" hidden="1">
      <c r="A932" s="601" t="s">
        <v>2164</v>
      </c>
      <c r="B932" s="601" t="str">
        <f t="shared" si="14"/>
        <v xml:space="preserve">HENNES </v>
      </c>
      <c r="C932" s="601" t="str">
        <f>MID(Table3[[#This Row],[Statement Code]],FIND("- ",Table3[[#This Row],[Statement Code]])+2,100)</f>
        <v>CASH - GENERIC</v>
      </c>
      <c r="D932" s="602" t="s">
        <v>2165</v>
      </c>
      <c r="E932" s="601" t="s">
        <v>2122</v>
      </c>
      <c r="F932" s="601" t="s">
        <v>551</v>
      </c>
      <c r="G932" s="601">
        <v>1269062</v>
      </c>
      <c r="H932" s="601">
        <v>1889151</v>
      </c>
      <c r="I932" s="601">
        <v>3162992</v>
      </c>
      <c r="J932" s="601">
        <v>2021233</v>
      </c>
      <c r="K932" s="601">
        <v>2357568</v>
      </c>
      <c r="L932" s="601" t="s">
        <v>23</v>
      </c>
    </row>
    <row r="933" spans="1:12">
      <c r="A933" s="601" t="s">
        <v>2166</v>
      </c>
      <c r="B933" s="601" t="str">
        <f t="shared" si="14"/>
        <v xml:space="preserve">HENNES </v>
      </c>
      <c r="C933" s="601" t="str">
        <f>MID(Table3[[#This Row],[Statement Code]],FIND("- ",Table3[[#This Row],[Statement Code]])+2,100)</f>
        <v>CASH &amp; SHORT TERM INVESTMENTS</v>
      </c>
      <c r="D933" s="602" t="s">
        <v>2167</v>
      </c>
      <c r="E933" s="601" t="s">
        <v>2122</v>
      </c>
      <c r="F933" s="601" t="s">
        <v>551</v>
      </c>
      <c r="G933" s="601">
        <v>1269062</v>
      </c>
      <c r="H933" s="601">
        <v>1889151</v>
      </c>
      <c r="I933" s="601">
        <v>3162992</v>
      </c>
      <c r="J933" s="601">
        <v>2021233</v>
      </c>
      <c r="K933" s="601">
        <v>2357568</v>
      </c>
      <c r="L933" s="601" t="s">
        <v>23</v>
      </c>
    </row>
    <row r="934" spans="1:12" hidden="1">
      <c r="A934" s="601" t="s">
        <v>2168</v>
      </c>
      <c r="B934" s="601" t="str">
        <f t="shared" si="14"/>
        <v xml:space="preserve">HENNES </v>
      </c>
      <c r="C934" s="601" t="str">
        <f>MID(Table3[[#This Row],[Statement Code]],FIND("- ",Table3[[#This Row],[Statement Code]])+2,100)</f>
        <v>CASH DIVIDENDS PAID - TOTAL</v>
      </c>
      <c r="D934" s="602" t="s">
        <v>2169</v>
      </c>
      <c r="E934" s="601" t="s">
        <v>2122</v>
      </c>
      <c r="F934" s="601" t="s">
        <v>551</v>
      </c>
      <c r="G934" s="601">
        <v>1663325</v>
      </c>
      <c r="H934" s="601">
        <v>0</v>
      </c>
      <c r="I934" s="601">
        <v>1238669</v>
      </c>
      <c r="J934" s="601">
        <v>995113</v>
      </c>
      <c r="K934" s="601">
        <v>944617</v>
      </c>
      <c r="L934" s="601" t="s">
        <v>23</v>
      </c>
    </row>
    <row r="935" spans="1:12" hidden="1">
      <c r="A935" s="601" t="s">
        <v>2170</v>
      </c>
      <c r="B935" s="601" t="str">
        <f t="shared" si="14"/>
        <v xml:space="preserve">HENNES </v>
      </c>
      <c r="C935" s="601" t="str">
        <f>MID(Table3[[#This Row],[Statement Code]],FIND("- ",Table3[[#This Row],[Statement Code]])+2,100)</f>
        <v>CASH FLOW PER SHARE</v>
      </c>
      <c r="D935" s="602" t="s">
        <v>2171</v>
      </c>
      <c r="E935" s="601" t="s">
        <v>2122</v>
      </c>
      <c r="F935" s="601" t="s">
        <v>551</v>
      </c>
      <c r="G935" s="601">
        <v>1.542</v>
      </c>
      <c r="H935" s="601">
        <v>1.6779999999999999</v>
      </c>
      <c r="I935" s="601">
        <v>2.2010000000000001</v>
      </c>
      <c r="J935" s="601">
        <v>1.4710000000000001</v>
      </c>
      <c r="K935" s="601">
        <v>1.5960000000000001</v>
      </c>
      <c r="L935" s="601" t="s">
        <v>23</v>
      </c>
    </row>
    <row r="936" spans="1:12" hidden="1">
      <c r="A936" s="601" t="s">
        <v>2172</v>
      </c>
      <c r="B936" s="601" t="str">
        <f t="shared" si="14"/>
        <v xml:space="preserve">HENNES </v>
      </c>
      <c r="C936" s="601" t="str">
        <f>MID(Table3[[#This Row],[Statement Code]],FIND("- ",Table3[[#This Row],[Statement Code]])+2,100)</f>
        <v>CASH FLOW PER SHARE - FIS YR</v>
      </c>
      <c r="D936" s="602" t="s">
        <v>2173</v>
      </c>
      <c r="E936" s="601" t="s">
        <v>2122</v>
      </c>
      <c r="F936" s="601" t="s">
        <v>551</v>
      </c>
      <c r="G936" s="601">
        <v>1.542</v>
      </c>
      <c r="H936" s="601">
        <v>1.6779999999999999</v>
      </c>
      <c r="I936" s="601">
        <v>2.2010000000000001</v>
      </c>
      <c r="J936" s="601">
        <v>1.4710000000000001</v>
      </c>
      <c r="K936" s="601">
        <v>1.5960000000000001</v>
      </c>
      <c r="L936" s="601" t="s">
        <v>23</v>
      </c>
    </row>
    <row r="937" spans="1:12" hidden="1">
      <c r="A937" s="601" t="s">
        <v>2174</v>
      </c>
      <c r="B937" s="601" t="str">
        <f t="shared" si="14"/>
        <v xml:space="preserve">HENNES </v>
      </c>
      <c r="C937" s="601" t="str">
        <f>MID(Table3[[#This Row],[Statement Code]],FIND("- ",Table3[[#This Row],[Statement Code]])+2,100)</f>
        <v>COMMON DIVIDENDS (CASH)</v>
      </c>
      <c r="D937" s="602" t="s">
        <v>2175</v>
      </c>
      <c r="E937" s="601" t="s">
        <v>2122</v>
      </c>
      <c r="F937" s="601" t="s">
        <v>551</v>
      </c>
      <c r="G937" s="601">
        <v>1663325</v>
      </c>
      <c r="H937" s="601">
        <v>0</v>
      </c>
      <c r="I937" s="601">
        <v>1238669</v>
      </c>
      <c r="J937" s="601">
        <v>995113</v>
      </c>
      <c r="K937" s="601">
        <v>944617</v>
      </c>
      <c r="L937" s="601" t="s">
        <v>23</v>
      </c>
    </row>
    <row r="938" spans="1:12" hidden="1">
      <c r="A938" s="601" t="s">
        <v>2176</v>
      </c>
      <c r="B938" s="601" t="str">
        <f t="shared" si="14"/>
        <v xml:space="preserve">HENNES </v>
      </c>
      <c r="C938" s="601" t="str">
        <f>MID(Table3[[#This Row],[Statement Code]],FIND("- ",Table3[[#This Row],[Statement Code]])+2,100)</f>
        <v>COMMON SHAREHOLDERS' EQUITY</v>
      </c>
      <c r="D938" s="602" t="s">
        <v>2177</v>
      </c>
      <c r="E938" s="601" t="s">
        <v>2122</v>
      </c>
      <c r="F938" s="601" t="s">
        <v>551</v>
      </c>
      <c r="G938" s="601">
        <v>5882400</v>
      </c>
      <c r="H938" s="601">
        <v>6238881</v>
      </c>
      <c r="I938" s="601">
        <v>6910431</v>
      </c>
      <c r="J938" s="601">
        <v>4726206</v>
      </c>
      <c r="K938" s="601">
        <v>4243854</v>
      </c>
      <c r="L938" s="601" t="s">
        <v>23</v>
      </c>
    </row>
    <row r="939" spans="1:12">
      <c r="A939" s="601" t="s">
        <v>2178</v>
      </c>
      <c r="B939" s="601" t="str">
        <f t="shared" si="14"/>
        <v xml:space="preserve">HENNES </v>
      </c>
      <c r="C939" s="601" t="str">
        <f>MID(Table3[[#This Row],[Statement Code]],FIND("- ",Table3[[#This Row],[Statement Code]])+2,100)</f>
        <v>COMMON STOCK</v>
      </c>
      <c r="D939" s="602" t="s">
        <v>2179</v>
      </c>
      <c r="E939" s="601" t="s">
        <v>2122</v>
      </c>
      <c r="F939" s="601" t="s">
        <v>551</v>
      </c>
      <c r="G939" s="601">
        <v>21337</v>
      </c>
      <c r="H939" s="601">
        <v>23643</v>
      </c>
      <c r="I939" s="601">
        <v>23834</v>
      </c>
      <c r="J939" s="601">
        <v>19275</v>
      </c>
      <c r="K939" s="601">
        <v>18487</v>
      </c>
      <c r="L939" s="601" t="s">
        <v>23</v>
      </c>
    </row>
    <row r="940" spans="1:12" hidden="1">
      <c r="A940" s="601" t="s">
        <v>2180</v>
      </c>
      <c r="B940" s="601" t="str">
        <f t="shared" si="14"/>
        <v xml:space="preserve">HENNES </v>
      </c>
      <c r="C940" s="601" t="str">
        <f>MID(Table3[[#This Row],[Statement Code]],FIND("- ",Table3[[#This Row],[Statement Code]])+2,100)</f>
        <v>COST OF GOODS SOLD (EXCL DEP)</v>
      </c>
      <c r="D940" s="602" t="s">
        <v>2181</v>
      </c>
      <c r="E940" s="601" t="s">
        <v>2122</v>
      </c>
      <c r="F940" s="601" t="s">
        <v>551</v>
      </c>
      <c r="G940" s="601">
        <v>11310651</v>
      </c>
      <c r="H940" s="601">
        <v>10572735</v>
      </c>
      <c r="I940" s="601">
        <v>10719239</v>
      </c>
      <c r="J940" s="601">
        <v>10255522</v>
      </c>
      <c r="K940" s="601">
        <v>11167056</v>
      </c>
      <c r="L940" s="601" t="s">
        <v>23</v>
      </c>
    </row>
    <row r="941" spans="1:12">
      <c r="A941" s="601" t="s">
        <v>2182</v>
      </c>
      <c r="B941" s="601" t="str">
        <f t="shared" si="14"/>
        <v xml:space="preserve">HENNES </v>
      </c>
      <c r="C941" s="601" t="str">
        <f>MID(Table3[[#This Row],[Statement Code]],FIND("- ",Table3[[#This Row],[Statement Code]])+2,100)</f>
        <v>CURRENT ASSETS - TOTAL</v>
      </c>
      <c r="D941" s="602" t="s">
        <v>2183</v>
      </c>
      <c r="E941" s="601" t="s">
        <v>2122</v>
      </c>
      <c r="F941" s="601" t="s">
        <v>551</v>
      </c>
      <c r="G941" s="601">
        <v>6418701</v>
      </c>
      <c r="H941" s="601">
        <v>7465002</v>
      </c>
      <c r="I941" s="601">
        <v>9094393</v>
      </c>
      <c r="J941" s="601">
        <v>7404733</v>
      </c>
      <c r="K941" s="601">
        <v>7191931</v>
      </c>
      <c r="L941" s="601" t="s">
        <v>23</v>
      </c>
    </row>
    <row r="942" spans="1:12">
      <c r="A942" s="601" t="s">
        <v>2184</v>
      </c>
      <c r="B942" s="601" t="str">
        <f t="shared" si="14"/>
        <v xml:space="preserve">HENNES </v>
      </c>
      <c r="C942" s="601" t="str">
        <f>MID(Table3[[#This Row],[Statement Code]],FIND("- ",Table3[[#This Row],[Statement Code]])+2,100)</f>
        <v>CURRENT LIABILITIES-TOTAL</v>
      </c>
      <c r="D942" s="602" t="s">
        <v>2185</v>
      </c>
      <c r="E942" s="601" t="s">
        <v>2122</v>
      </c>
      <c r="F942" s="601" t="s">
        <v>551</v>
      </c>
      <c r="G942" s="601">
        <v>4930707</v>
      </c>
      <c r="H942" s="601">
        <v>6425512</v>
      </c>
      <c r="I942" s="601">
        <v>7043877</v>
      </c>
      <c r="J942" s="601">
        <v>6362970</v>
      </c>
      <c r="K942" s="601">
        <v>6066464</v>
      </c>
      <c r="L942" s="601" t="s">
        <v>23</v>
      </c>
    </row>
    <row r="943" spans="1:12" hidden="1">
      <c r="A943" s="601" t="s">
        <v>2186</v>
      </c>
      <c r="B943" s="601" t="str">
        <f t="shared" si="14"/>
        <v xml:space="preserve">HENNES </v>
      </c>
      <c r="C943" s="601" t="str">
        <f>MID(Table3[[#This Row],[Statement Code]],FIND("- ",Table3[[#This Row],[Statement Code]])+2,100)</f>
        <v>DEFERRED TAXES</v>
      </c>
      <c r="D943" s="602" t="s">
        <v>2187</v>
      </c>
      <c r="E943" s="601" t="s">
        <v>2122</v>
      </c>
      <c r="F943" s="601" t="s">
        <v>551</v>
      </c>
      <c r="G943" s="601">
        <v>10411</v>
      </c>
      <c r="H943" s="601">
        <v>-197139</v>
      </c>
      <c r="I943" s="601">
        <v>-233157</v>
      </c>
      <c r="J943" s="601">
        <v>-303925</v>
      </c>
      <c r="K943" s="601">
        <v>-293915</v>
      </c>
      <c r="L943" s="601" t="s">
        <v>23</v>
      </c>
    </row>
    <row r="944" spans="1:12" hidden="1">
      <c r="A944" s="601" t="s">
        <v>2188</v>
      </c>
      <c r="B944" s="601" t="str">
        <f t="shared" si="14"/>
        <v xml:space="preserve">HENNES </v>
      </c>
      <c r="C944" s="601" t="str">
        <f>MID(Table3[[#This Row],[Statement Code]],FIND("- ",Table3[[#This Row],[Statement Code]])+2,100)</f>
        <v>DEPRECIATION AND DEPLETION</v>
      </c>
      <c r="D944" s="602" t="s">
        <v>2189</v>
      </c>
      <c r="E944" s="601" t="s">
        <v>2122</v>
      </c>
      <c r="F944" s="601" t="s">
        <v>551</v>
      </c>
      <c r="G944" s="601">
        <v>973236</v>
      </c>
      <c r="H944" s="601">
        <v>2964277</v>
      </c>
      <c r="I944" s="601">
        <v>2569909</v>
      </c>
      <c r="J944" s="601">
        <v>2102429</v>
      </c>
      <c r="K944" s="601">
        <v>2050078</v>
      </c>
      <c r="L944" s="601" t="s">
        <v>23</v>
      </c>
    </row>
    <row r="945" spans="1:12">
      <c r="A945" s="601" t="s">
        <v>2190</v>
      </c>
      <c r="B945" s="601" t="str">
        <f t="shared" si="14"/>
        <v xml:space="preserve">HENNES </v>
      </c>
      <c r="C945" s="601" t="str">
        <f>MID(Table3[[#This Row],[Statement Code]],FIND("- ",Table3[[#This Row],[Statement Code]])+2,100)</f>
        <v>DEPRECIATION/DEPLETION/AMORT</v>
      </c>
      <c r="D945" s="602" t="s">
        <v>2191</v>
      </c>
      <c r="E945" s="601" t="s">
        <v>2122</v>
      </c>
      <c r="F945" s="601" t="s">
        <v>551</v>
      </c>
      <c r="G945" s="601">
        <v>1139084</v>
      </c>
      <c r="H945" s="601">
        <v>2846861</v>
      </c>
      <c r="I945" s="601">
        <v>2483094</v>
      </c>
      <c r="J945" s="601">
        <v>1966482</v>
      </c>
      <c r="K945" s="601">
        <v>1970058</v>
      </c>
      <c r="L945" s="601" t="s">
        <v>23</v>
      </c>
    </row>
    <row r="946" spans="1:12" hidden="1">
      <c r="A946" s="601" t="s">
        <v>2192</v>
      </c>
      <c r="B946" s="601" t="str">
        <f t="shared" si="14"/>
        <v xml:space="preserve">HENNES </v>
      </c>
      <c r="C946" s="601" t="str">
        <f>MID(Table3[[#This Row],[Statement Code]],FIND("- ",Table3[[#This Row],[Statement Code]])+2,100)</f>
        <v>DIVIDENDS PER SHARE</v>
      </c>
      <c r="D946" s="602" t="s">
        <v>2193</v>
      </c>
      <c r="E946" s="601" t="s">
        <v>2122</v>
      </c>
      <c r="F946" s="601" t="s">
        <v>551</v>
      </c>
      <c r="G946" s="601">
        <v>0</v>
      </c>
      <c r="H946" s="601">
        <v>0</v>
      </c>
      <c r="I946" s="601">
        <v>1.123</v>
      </c>
      <c r="J946" s="601">
        <v>0.60499999999999998</v>
      </c>
      <c r="K946" s="601">
        <v>0.58099999999999996</v>
      </c>
      <c r="L946" s="601" t="s">
        <v>23</v>
      </c>
    </row>
    <row r="947" spans="1:12" hidden="1">
      <c r="A947" s="601" t="s">
        <v>2194</v>
      </c>
      <c r="B947" s="601" t="str">
        <f t="shared" si="14"/>
        <v xml:space="preserve">HENNES </v>
      </c>
      <c r="C947" s="601" t="str">
        <f>MID(Table3[[#This Row],[Statement Code]],FIND("- ",Table3[[#This Row],[Statement Code]])+2,100)</f>
        <v>DIVIDENDS PER SHARE - FISCAL</v>
      </c>
      <c r="D947" s="602" t="s">
        <v>2195</v>
      </c>
      <c r="E947" s="601" t="s">
        <v>2122</v>
      </c>
      <c r="F947" s="601" t="s">
        <v>551</v>
      </c>
      <c r="G947" s="601">
        <v>0</v>
      </c>
      <c r="H947" s="601">
        <v>0</v>
      </c>
      <c r="I947" s="601">
        <v>1.123</v>
      </c>
      <c r="J947" s="601">
        <v>0.60499999999999998</v>
      </c>
      <c r="K947" s="601">
        <v>0.58099999999999996</v>
      </c>
      <c r="L947" s="601" t="s">
        <v>23</v>
      </c>
    </row>
    <row r="948" spans="1:12">
      <c r="A948" s="601" t="s">
        <v>2196</v>
      </c>
      <c r="B948" s="601" t="str">
        <f t="shared" si="14"/>
        <v xml:space="preserve">HENNES </v>
      </c>
      <c r="C948" s="601" t="str">
        <f>MID(Table3[[#This Row],[Statement Code]],FIND("- ",Table3[[#This Row],[Statement Code]])+2,100)</f>
        <v>EARNINGS BEF INTEREST &amp; TAXES</v>
      </c>
      <c r="D948" s="602" t="s">
        <v>2197</v>
      </c>
      <c r="E948" s="601" t="s">
        <v>2122</v>
      </c>
      <c r="F948" s="601" t="s">
        <v>551</v>
      </c>
      <c r="G948" s="601">
        <v>1826699</v>
      </c>
      <c r="H948" s="601">
        <v>382742</v>
      </c>
      <c r="I948" s="601">
        <v>1779823</v>
      </c>
      <c r="J948" s="601">
        <v>682621</v>
      </c>
      <c r="K948" s="601">
        <v>1353293</v>
      </c>
      <c r="L948" s="601" t="s">
        <v>23</v>
      </c>
    </row>
    <row r="949" spans="1:12" hidden="1">
      <c r="A949" s="601" t="s">
        <v>2198</v>
      </c>
      <c r="B949" s="601" t="str">
        <f t="shared" si="14"/>
        <v xml:space="preserve">HENNES </v>
      </c>
      <c r="C949" s="601" t="str">
        <f>MID(Table3[[#This Row],[Statement Code]],FIND("- ",Table3[[#This Row],[Statement Code]])+2,100)</f>
        <v>EBIT &amp; DEPRECIATION</v>
      </c>
      <c r="D949" s="602" t="s">
        <v>2199</v>
      </c>
      <c r="E949" s="601" t="s">
        <v>2122</v>
      </c>
      <c r="F949" s="601" t="s">
        <v>551</v>
      </c>
      <c r="G949" s="601">
        <v>2965784</v>
      </c>
      <c r="H949" s="601">
        <v>3229603</v>
      </c>
      <c r="I949" s="601">
        <v>4262918</v>
      </c>
      <c r="J949" s="601">
        <v>2649104</v>
      </c>
      <c r="K949" s="601">
        <v>3323351</v>
      </c>
      <c r="L949" s="601" t="s">
        <v>23</v>
      </c>
    </row>
    <row r="950" spans="1:12" hidden="1">
      <c r="A950" s="601" t="s">
        <v>2200</v>
      </c>
      <c r="B950" s="601" t="str">
        <f t="shared" si="14"/>
        <v xml:space="preserve">HENNES </v>
      </c>
      <c r="C950" s="601" t="str">
        <f>MID(Table3[[#This Row],[Statement Code]],FIND("- ",Table3[[#This Row],[Statement Code]])+2,100)</f>
        <v>EARNINGS PER SHARE</v>
      </c>
      <c r="D950" s="602" t="s">
        <v>2201</v>
      </c>
      <c r="E950" s="601" t="s">
        <v>2122</v>
      </c>
      <c r="F950" s="601" t="s">
        <v>551</v>
      </c>
      <c r="G950" s="601">
        <v>0.83699999999999997</v>
      </c>
      <c r="H950" s="601">
        <v>8.5999999999999993E-2</v>
      </c>
      <c r="I950" s="601">
        <v>0.76600000000000001</v>
      </c>
      <c r="J950" s="601">
        <v>0.20100000000000001</v>
      </c>
      <c r="K950" s="601">
        <v>0.48</v>
      </c>
      <c r="L950" s="601" t="s">
        <v>23</v>
      </c>
    </row>
    <row r="951" spans="1:12" hidden="1">
      <c r="A951" s="601" t="s">
        <v>2202</v>
      </c>
      <c r="B951" s="601" t="str">
        <f t="shared" si="14"/>
        <v xml:space="preserve">HENNES </v>
      </c>
      <c r="C951" s="601" t="str">
        <f>MID(Table3[[#This Row],[Statement Code]],FIND("- ",Table3[[#This Row],[Statement Code]])+2,100)</f>
        <v>FISCAL EPS-FULLY DILUTED-YR</v>
      </c>
      <c r="D951" s="602" t="s">
        <v>2203</v>
      </c>
      <c r="E951" s="601" t="s">
        <v>2122</v>
      </c>
      <c r="F951" s="601" t="s">
        <v>551</v>
      </c>
      <c r="G951" s="601">
        <v>0.83699999999999997</v>
      </c>
      <c r="H951" s="601">
        <v>8.5999999999999993E-2</v>
      </c>
      <c r="I951" s="601">
        <v>0.76600000000000001</v>
      </c>
      <c r="J951" s="601">
        <v>0.20100000000000001</v>
      </c>
      <c r="K951" s="601">
        <v>0.48</v>
      </c>
      <c r="L951" s="601" t="s">
        <v>23</v>
      </c>
    </row>
    <row r="952" spans="1:12" hidden="1">
      <c r="A952" s="601" t="s">
        <v>2204</v>
      </c>
      <c r="B952" s="601" t="str">
        <f t="shared" si="14"/>
        <v xml:space="preserve">HENNES </v>
      </c>
      <c r="C952" s="601" t="str">
        <f>MID(Table3[[#This Row],[Statement Code]],FIND("- ",Table3[[#This Row],[Statement Code]])+2,100)</f>
        <v>ENTERPRISE VALUE</v>
      </c>
      <c r="D952" s="602" t="s">
        <v>2205</v>
      </c>
      <c r="E952" s="601" t="s">
        <v>2122</v>
      </c>
      <c r="F952" s="601" t="s">
        <v>551</v>
      </c>
      <c r="G952" s="601">
        <v>32088298</v>
      </c>
      <c r="H952" s="601">
        <v>41584858</v>
      </c>
      <c r="I952" s="601">
        <v>35005979</v>
      </c>
      <c r="J952" s="601">
        <v>22444962</v>
      </c>
      <c r="K952" s="601">
        <v>28943108</v>
      </c>
      <c r="L952" s="601" t="s">
        <v>23</v>
      </c>
    </row>
    <row r="953" spans="1:12">
      <c r="A953" s="601" t="s">
        <v>2206</v>
      </c>
      <c r="B953" s="601" t="str">
        <f t="shared" si="14"/>
        <v xml:space="preserve">HENNES </v>
      </c>
      <c r="C953" s="601" t="str">
        <f>MID(Table3[[#This Row],[Statement Code]],FIND("- ",Table3[[#This Row],[Statement Code]])+2,100)</f>
        <v>GROSS INCOME</v>
      </c>
      <c r="D953" s="602" t="s">
        <v>2207</v>
      </c>
      <c r="E953" s="601" t="s">
        <v>2122</v>
      </c>
      <c r="F953" s="601" t="s">
        <v>551</v>
      </c>
      <c r="G953" s="601">
        <v>11541539</v>
      </c>
      <c r="H953" s="601">
        <v>7942658</v>
      </c>
      <c r="I953" s="601">
        <v>9706589</v>
      </c>
      <c r="J953" s="601">
        <v>8593990</v>
      </c>
      <c r="K953" s="601">
        <v>7942837</v>
      </c>
      <c r="L953" s="601" t="s">
        <v>23</v>
      </c>
    </row>
    <row r="954" spans="1:12" hidden="1">
      <c r="A954" s="601" t="s">
        <v>2208</v>
      </c>
      <c r="B954" s="601" t="str">
        <f t="shared" si="14"/>
        <v xml:space="preserve">HENNES </v>
      </c>
      <c r="C954" s="601" t="str">
        <f>MID(Table3[[#This Row],[Statement Code]],FIND("- ",Table3[[#This Row],[Statement Code]])+2,100)</f>
        <v>IMPAIRMENT- OTHER INTANGIBLES</v>
      </c>
      <c r="D954" s="602" t="s">
        <v>2209</v>
      </c>
      <c r="E954" s="601" t="s">
        <v>2122</v>
      </c>
      <c r="F954" s="601" t="s">
        <v>551</v>
      </c>
      <c r="G954" s="601" t="s">
        <v>23</v>
      </c>
      <c r="H954" s="601" t="s">
        <v>23</v>
      </c>
      <c r="I954" s="601" t="s">
        <v>23</v>
      </c>
      <c r="J954" s="601">
        <v>-1862</v>
      </c>
      <c r="K954" s="601">
        <v>-13486</v>
      </c>
      <c r="L954" s="601" t="s">
        <v>23</v>
      </c>
    </row>
    <row r="955" spans="1:12">
      <c r="A955" s="601" t="s">
        <v>2210</v>
      </c>
      <c r="B955" s="601" t="str">
        <f t="shared" si="14"/>
        <v xml:space="preserve">HENNES </v>
      </c>
      <c r="C955" s="601" t="str">
        <f>MID(Table3[[#This Row],[Statement Code]],FIND("- ",Table3[[#This Row],[Statement Code]])+2,100)</f>
        <v>INCOME TAXES</v>
      </c>
      <c r="D955" s="602" t="s">
        <v>2211</v>
      </c>
      <c r="E955" s="601" t="s">
        <v>2122</v>
      </c>
      <c r="F955" s="601" t="s">
        <v>551</v>
      </c>
      <c r="G955" s="601">
        <v>406941</v>
      </c>
      <c r="H955" s="601">
        <v>92402</v>
      </c>
      <c r="I955" s="601">
        <v>378808</v>
      </c>
      <c r="J955" s="601">
        <v>246753</v>
      </c>
      <c r="K955" s="601">
        <v>382866</v>
      </c>
      <c r="L955" s="601" t="s">
        <v>23</v>
      </c>
    </row>
    <row r="956" spans="1:12" hidden="1">
      <c r="A956" s="601" t="s">
        <v>2212</v>
      </c>
      <c r="B956" s="601" t="str">
        <f t="shared" si="14"/>
        <v xml:space="preserve">HENNES </v>
      </c>
      <c r="C956" s="601" t="str">
        <f>MID(Table3[[#This Row],[Statement Code]],FIND("- ",Table3[[#This Row],[Statement Code]])+2,100)</f>
        <v>INCREASE/DECREASE IN CASH/SHOR</v>
      </c>
      <c r="D956" s="602" t="s">
        <v>2213</v>
      </c>
      <c r="E956" s="601" t="s">
        <v>2122</v>
      </c>
      <c r="F956" s="601" t="s">
        <v>551</v>
      </c>
      <c r="G956" s="601">
        <v>74420</v>
      </c>
      <c r="H956" s="601">
        <v>482910</v>
      </c>
      <c r="I956" s="601">
        <v>1258473</v>
      </c>
      <c r="J956" s="601">
        <v>-536711</v>
      </c>
      <c r="K956" s="601">
        <v>418947</v>
      </c>
      <c r="L956" s="601" t="s">
        <v>23</v>
      </c>
    </row>
    <row r="957" spans="1:12">
      <c r="A957" s="601" t="s">
        <v>2214</v>
      </c>
      <c r="B957" s="601" t="str">
        <f t="shared" si="14"/>
        <v xml:space="preserve">HENNES </v>
      </c>
      <c r="C957" s="601" t="str">
        <f>MID(Table3[[#This Row],[Statement Code]],FIND("- ",Table3[[#This Row],[Statement Code]])+2,100)</f>
        <v>INTEREST EXPENSE ON DEBT</v>
      </c>
      <c r="D957" s="602" t="s">
        <v>2215</v>
      </c>
      <c r="E957" s="601" t="s">
        <v>2122</v>
      </c>
      <c r="F957" s="601" t="s">
        <v>551</v>
      </c>
      <c r="G957" s="601">
        <v>34118</v>
      </c>
      <c r="H957" s="601">
        <v>148368</v>
      </c>
      <c r="I957" s="601">
        <v>133331</v>
      </c>
      <c r="J957" s="601">
        <v>103823</v>
      </c>
      <c r="K957" s="601">
        <v>191388</v>
      </c>
      <c r="L957" s="601" t="s">
        <v>23</v>
      </c>
    </row>
    <row r="958" spans="1:12" hidden="1">
      <c r="A958" s="601" t="s">
        <v>2216</v>
      </c>
      <c r="B958" s="601" t="str">
        <f t="shared" si="14"/>
        <v xml:space="preserve">HENNES </v>
      </c>
      <c r="C958" s="601" t="str">
        <f>MID(Table3[[#This Row],[Statement Code]],FIND("- ",Table3[[#This Row],[Statement Code]])+2,100)</f>
        <v>TOTAL INVENTORIES</v>
      </c>
      <c r="D958" s="602" t="s">
        <v>2217</v>
      </c>
      <c r="E958" s="601" t="s">
        <v>2122</v>
      </c>
      <c r="F958" s="601" t="s">
        <v>551</v>
      </c>
      <c r="G958" s="601">
        <v>3898614</v>
      </c>
      <c r="H958" s="601">
        <v>4364121</v>
      </c>
      <c r="I958" s="601">
        <v>4295387</v>
      </c>
      <c r="J958" s="601">
        <v>3956895</v>
      </c>
      <c r="K958" s="601">
        <v>3336390</v>
      </c>
      <c r="L958" s="601" t="s">
        <v>23</v>
      </c>
    </row>
    <row r="959" spans="1:12">
      <c r="A959" s="601" t="s">
        <v>2218</v>
      </c>
      <c r="B959" s="601" t="str">
        <f t="shared" si="14"/>
        <v xml:space="preserve">HENNES </v>
      </c>
      <c r="C959" s="601" t="str">
        <f>MID(Table3[[#This Row],[Statement Code]],FIND("- ",Table3[[#This Row],[Statement Code]])+2,100)</f>
        <v>LONG TERM DEBT</v>
      </c>
      <c r="D959" s="602" t="s">
        <v>2219</v>
      </c>
      <c r="E959" s="601" t="s">
        <v>2122</v>
      </c>
      <c r="F959" s="601" t="s">
        <v>551</v>
      </c>
      <c r="G959" s="601">
        <v>1097442</v>
      </c>
      <c r="H959" s="601">
        <v>6726360</v>
      </c>
      <c r="I959" s="601">
        <v>6281655</v>
      </c>
      <c r="J959" s="601">
        <v>5486764</v>
      </c>
      <c r="K959" s="601">
        <v>5609740</v>
      </c>
      <c r="L959" s="601" t="s">
        <v>23</v>
      </c>
    </row>
    <row r="960" spans="1:12" hidden="1">
      <c r="A960" s="601" t="s">
        <v>2220</v>
      </c>
      <c r="B960" s="601" t="str">
        <f t="shared" si="14"/>
        <v xml:space="preserve">HENNES </v>
      </c>
      <c r="C960" s="601" t="str">
        <f>MID(Table3[[#This Row],[Statement Code]],FIND("- ",Table3[[#This Row],[Statement Code]])+2,100)</f>
        <v>MARKET CAPITALIZATION</v>
      </c>
      <c r="D960" s="602" t="s">
        <v>2221</v>
      </c>
      <c r="E960" s="601" t="s">
        <v>2122</v>
      </c>
      <c r="F960" s="601" t="s">
        <v>551</v>
      </c>
      <c r="G960" s="601">
        <v>31533135</v>
      </c>
      <c r="H960" s="601">
        <v>34329217</v>
      </c>
      <c r="I960" s="601">
        <v>30490215</v>
      </c>
      <c r="J960" s="601">
        <v>17702834</v>
      </c>
      <c r="K960" s="601">
        <v>24329963</v>
      </c>
      <c r="L960" s="601" t="s">
        <v>23</v>
      </c>
    </row>
    <row r="961" spans="1:12" hidden="1">
      <c r="A961" s="601" t="s">
        <v>2222</v>
      </c>
      <c r="B961" s="601" t="str">
        <f t="shared" si="14"/>
        <v xml:space="preserve">HENNES </v>
      </c>
      <c r="C961" s="601" t="str">
        <f>MID(Table3[[#This Row],[Statement Code]],FIND("- ",Table3[[#This Row],[Statement Code]])+2,100)</f>
        <v>NET CASH FLOW - FINANCING</v>
      </c>
      <c r="D961" s="602" t="s">
        <v>2223</v>
      </c>
      <c r="E961" s="601" t="s">
        <v>2122</v>
      </c>
      <c r="F961" s="601" t="s">
        <v>551</v>
      </c>
      <c r="G961" s="601">
        <v>-1885452</v>
      </c>
      <c r="H961" s="601">
        <v>-1731417</v>
      </c>
      <c r="I961" s="601">
        <v>-3475480</v>
      </c>
      <c r="J961" s="601">
        <v>-2341454</v>
      </c>
      <c r="K961" s="601">
        <v>-1662479</v>
      </c>
      <c r="L961" s="601" t="s">
        <v>23</v>
      </c>
    </row>
    <row r="962" spans="1:12" hidden="1">
      <c r="A962" s="601" t="s">
        <v>2224</v>
      </c>
      <c r="B962" s="601" t="str">
        <f t="shared" si="14"/>
        <v xml:space="preserve">HENNES </v>
      </c>
      <c r="C962" s="601" t="str">
        <f>MID(Table3[[#This Row],[Statement Code]],FIND("- ",Table3[[#This Row],[Statement Code]])+2,100)</f>
        <v>NET CASH FLOW - INVESTING</v>
      </c>
      <c r="D962" s="602" t="s">
        <v>2225</v>
      </c>
      <c r="E962" s="601" t="s">
        <v>2122</v>
      </c>
      <c r="F962" s="601" t="s">
        <v>551</v>
      </c>
      <c r="G962" s="601">
        <v>1085176</v>
      </c>
      <c r="H962" s="601">
        <v>598955</v>
      </c>
      <c r="I962" s="601">
        <v>469538</v>
      </c>
      <c r="J962" s="601">
        <v>634388</v>
      </c>
      <c r="K962" s="601">
        <v>859059</v>
      </c>
      <c r="L962" s="601" t="s">
        <v>23</v>
      </c>
    </row>
    <row r="963" spans="1:12" hidden="1">
      <c r="A963" s="601" t="s">
        <v>2226</v>
      </c>
      <c r="B963" s="601" t="str">
        <f t="shared" ref="B963:B1026" si="15">LEFT(A963,FIND(" ",A963))</f>
        <v xml:space="preserve">HENNES </v>
      </c>
      <c r="C963" s="601" t="str">
        <f>MID(Table3[[#This Row],[Statement Code]],FIND("- ",Table3[[#This Row],[Statement Code]])+2,100)</f>
        <v>NET CASH FLOW-OPERATING ACTIVS</v>
      </c>
      <c r="D963" s="602" t="s">
        <v>2227</v>
      </c>
      <c r="E963" s="601" t="s">
        <v>2122</v>
      </c>
      <c r="F963" s="601" t="s">
        <v>551</v>
      </c>
      <c r="G963" s="601">
        <v>2987739</v>
      </c>
      <c r="H963" s="601">
        <v>2958223</v>
      </c>
      <c r="I963" s="601">
        <v>5137401</v>
      </c>
      <c r="J963" s="601">
        <v>2279067</v>
      </c>
      <c r="K963" s="601">
        <v>3031937</v>
      </c>
      <c r="L963" s="601" t="s">
        <v>23</v>
      </c>
    </row>
    <row r="964" spans="1:12" hidden="1">
      <c r="A964" s="601" t="s">
        <v>2228</v>
      </c>
      <c r="B964" s="601" t="str">
        <f t="shared" si="15"/>
        <v xml:space="preserve">HENNES </v>
      </c>
      <c r="C964" s="601" t="str">
        <f>MID(Table3[[#This Row],[Statement Code]],FIND("- ",Table3[[#This Row],[Statement Code]])+2,100)</f>
        <v>NET DEBT</v>
      </c>
      <c r="D964" s="602" t="s">
        <v>2229</v>
      </c>
      <c r="E964" s="601" t="s">
        <v>2122</v>
      </c>
      <c r="F964" s="601" t="s">
        <v>551</v>
      </c>
      <c r="G964" s="601">
        <v>555163</v>
      </c>
      <c r="H964" s="601">
        <v>7255642</v>
      </c>
      <c r="I964" s="601">
        <v>4515764</v>
      </c>
      <c r="J964" s="601">
        <v>4742128</v>
      </c>
      <c r="K964" s="601">
        <v>4605822</v>
      </c>
      <c r="L964" s="601" t="s">
        <v>23</v>
      </c>
    </row>
    <row r="965" spans="1:12">
      <c r="A965" s="601" t="s">
        <v>2230</v>
      </c>
      <c r="B965" s="601" t="str">
        <f t="shared" si="15"/>
        <v xml:space="preserve">HENNES </v>
      </c>
      <c r="C965" s="601" t="str">
        <f>MID(Table3[[#This Row],[Statement Code]],FIND("- ",Table3[[#This Row],[Statement Code]])+2,100)</f>
        <v>NET INCOME - DILUTED</v>
      </c>
      <c r="D965" s="602" t="s">
        <v>2231</v>
      </c>
      <c r="E965" s="601" t="s">
        <v>2122</v>
      </c>
      <c r="F965" s="601" t="s">
        <v>551</v>
      </c>
      <c r="G965" s="601">
        <v>1385640</v>
      </c>
      <c r="H965" s="601">
        <v>141972</v>
      </c>
      <c r="I965" s="601">
        <v>1267684</v>
      </c>
      <c r="J965" s="601">
        <v>332046</v>
      </c>
      <c r="K965" s="601">
        <v>781629</v>
      </c>
      <c r="L965" s="601" t="s">
        <v>23</v>
      </c>
    </row>
    <row r="966" spans="1:12">
      <c r="A966" s="601" t="s">
        <v>2232</v>
      </c>
      <c r="B966" s="601" t="str">
        <f t="shared" si="15"/>
        <v xml:space="preserve">HENNES </v>
      </c>
      <c r="C966" s="601" t="str">
        <f>MID(Table3[[#This Row],[Statement Code]],FIND("- ",Table3[[#This Row],[Statement Code]])+2,100)</f>
        <v>NET SALES OR REVENUES</v>
      </c>
      <c r="D966" s="602" t="s">
        <v>2233</v>
      </c>
      <c r="E966" s="601" t="s">
        <v>2122</v>
      </c>
      <c r="F966" s="601" t="s">
        <v>551</v>
      </c>
      <c r="G966" s="601">
        <v>23991274</v>
      </c>
      <c r="H966" s="601">
        <v>21362140</v>
      </c>
      <c r="I966" s="601">
        <v>22908923</v>
      </c>
      <c r="J966" s="601">
        <v>20815994</v>
      </c>
      <c r="K966" s="601">
        <v>21079951</v>
      </c>
      <c r="L966" s="601" t="s">
        <v>23</v>
      </c>
    </row>
    <row r="967" spans="1:12" hidden="1">
      <c r="A967" s="601" t="s">
        <v>2234</v>
      </c>
      <c r="B967" s="601" t="str">
        <f t="shared" si="15"/>
        <v xml:space="preserve">HENNES </v>
      </c>
      <c r="C967" s="601" t="str">
        <f>MID(Table3[[#This Row],[Statement Code]],FIND("- ",Table3[[#This Row],[Statement Code]])+2,100)</f>
        <v>NON-OPERATING INTEREST INCOME</v>
      </c>
      <c r="D967" s="602" t="s">
        <v>2235</v>
      </c>
      <c r="E967" s="601" t="s">
        <v>2122</v>
      </c>
      <c r="F967" s="601" t="s">
        <v>551</v>
      </c>
      <c r="G967" s="601">
        <v>38756</v>
      </c>
      <c r="H967" s="601">
        <v>28783</v>
      </c>
      <c r="I967" s="601">
        <v>23373</v>
      </c>
      <c r="J967" s="601">
        <v>15085</v>
      </c>
      <c r="K967" s="601">
        <v>55014</v>
      </c>
      <c r="L967" s="601" t="s">
        <v>23</v>
      </c>
    </row>
    <row r="968" spans="1:12" hidden="1">
      <c r="A968" s="601" t="s">
        <v>2236</v>
      </c>
      <c r="B968" s="601" t="str">
        <f t="shared" si="15"/>
        <v xml:space="preserve">HENNES </v>
      </c>
      <c r="C968" s="601" t="str">
        <f>MID(Table3[[#This Row],[Statement Code]],FIND("- ",Table3[[#This Row],[Statement Code]])+2,100)</f>
        <v>OPERATING EXPENSES - TOTAL</v>
      </c>
      <c r="D968" s="602" t="s">
        <v>2237</v>
      </c>
      <c r="E968" s="601" t="s">
        <v>2122</v>
      </c>
      <c r="F968" s="601" t="s">
        <v>551</v>
      </c>
      <c r="G968" s="601">
        <v>22203332</v>
      </c>
      <c r="H968" s="601">
        <v>20890766</v>
      </c>
      <c r="I968" s="601">
        <v>21152472</v>
      </c>
      <c r="J968" s="601">
        <v>19991280</v>
      </c>
      <c r="K968" s="601">
        <v>19788459</v>
      </c>
      <c r="L968" s="601" t="s">
        <v>23</v>
      </c>
    </row>
    <row r="969" spans="1:12">
      <c r="A969" s="601" t="s">
        <v>2238</v>
      </c>
      <c r="B969" s="601" t="str">
        <f t="shared" si="15"/>
        <v xml:space="preserve">HENNES </v>
      </c>
      <c r="C969" s="601" t="str">
        <f>MID(Table3[[#This Row],[Statement Code]],FIND("- ",Table3[[#This Row],[Statement Code]])+2,100)</f>
        <v>OPERATING INCOME</v>
      </c>
      <c r="D969" s="602" t="s">
        <v>2239</v>
      </c>
      <c r="E969" s="601" t="s">
        <v>2122</v>
      </c>
      <c r="F969" s="601" t="s">
        <v>551</v>
      </c>
      <c r="G969" s="601">
        <v>1787943</v>
      </c>
      <c r="H969" s="601">
        <v>471374</v>
      </c>
      <c r="I969" s="601">
        <v>1756450</v>
      </c>
      <c r="J969" s="601">
        <v>824714</v>
      </c>
      <c r="K969" s="601">
        <v>1291491</v>
      </c>
      <c r="L969" s="601" t="s">
        <v>23</v>
      </c>
    </row>
    <row r="970" spans="1:12" hidden="1">
      <c r="A970" s="601" t="s">
        <v>2240</v>
      </c>
      <c r="B970" s="601" t="str">
        <f t="shared" si="15"/>
        <v xml:space="preserve">HENNES </v>
      </c>
      <c r="C970" s="601" t="str">
        <f>MID(Table3[[#This Row],[Statement Code]],FIND("- ",Table3[[#This Row],[Statement Code]])+2,100)</f>
        <v>PRETAX INCOME</v>
      </c>
      <c r="D970" s="602" t="s">
        <v>2241</v>
      </c>
      <c r="E970" s="601" t="s">
        <v>2122</v>
      </c>
      <c r="F970" s="601" t="s">
        <v>551</v>
      </c>
      <c r="G970" s="601">
        <v>1792581</v>
      </c>
      <c r="H970" s="601">
        <v>234374</v>
      </c>
      <c r="I970" s="601">
        <v>1646492</v>
      </c>
      <c r="J970" s="601">
        <v>578799</v>
      </c>
      <c r="K970" s="601">
        <v>1161905</v>
      </c>
      <c r="L970" s="601" t="s">
        <v>23</v>
      </c>
    </row>
    <row r="971" spans="1:12" hidden="1">
      <c r="A971" s="601" t="s">
        <v>2242</v>
      </c>
      <c r="B971" s="601" t="str">
        <f t="shared" si="15"/>
        <v xml:space="preserve">HENNES </v>
      </c>
      <c r="C971" s="601" t="str">
        <f>MID(Table3[[#This Row],[Statement Code]],FIND("- ",Table3[[#This Row],[Statement Code]])+2,100)</f>
        <v>PROPERTY, PLANT &amp; EQUIP - NET</v>
      </c>
      <c r="D971" s="602" t="s">
        <v>2243</v>
      </c>
      <c r="E971" s="601" t="s">
        <v>2122</v>
      </c>
      <c r="F971" s="601" t="s">
        <v>551</v>
      </c>
      <c r="G971" s="601">
        <v>4214952</v>
      </c>
      <c r="H971" s="601">
        <v>10413631</v>
      </c>
      <c r="I971" s="601">
        <v>9172227</v>
      </c>
      <c r="J971" s="601">
        <v>7703910</v>
      </c>
      <c r="K971" s="601">
        <v>7281864</v>
      </c>
      <c r="L971" s="601" t="s">
        <v>23</v>
      </c>
    </row>
    <row r="972" spans="1:12" hidden="1">
      <c r="A972" s="601" t="s">
        <v>2244</v>
      </c>
      <c r="B972" s="601" t="str">
        <f t="shared" si="15"/>
        <v xml:space="preserve">HENNES </v>
      </c>
      <c r="C972" s="601" t="str">
        <f>MID(Table3[[#This Row],[Statement Code]],FIND("- ",Table3[[#This Row],[Statement Code]])+2,100)</f>
        <v>RECEIVABLES(NET)</v>
      </c>
      <c r="D972" s="602" t="s">
        <v>2245</v>
      </c>
      <c r="E972" s="601" t="s">
        <v>2122</v>
      </c>
      <c r="F972" s="601" t="s">
        <v>551</v>
      </c>
      <c r="G972" s="601">
        <v>945200</v>
      </c>
      <c r="H972" s="601">
        <v>818822</v>
      </c>
      <c r="I972" s="601">
        <v>1082540</v>
      </c>
      <c r="J972" s="601">
        <v>1008149</v>
      </c>
      <c r="K972" s="601">
        <v>1093316</v>
      </c>
      <c r="L972" s="601" t="s">
        <v>23</v>
      </c>
    </row>
    <row r="973" spans="1:12">
      <c r="A973" s="601" t="s">
        <v>2246</v>
      </c>
      <c r="B973" s="601" t="str">
        <f t="shared" si="15"/>
        <v xml:space="preserve">HENNES </v>
      </c>
      <c r="C973" s="601" t="str">
        <f>MID(Table3[[#This Row],[Statement Code]],FIND("- ",Table3[[#This Row],[Statement Code]])+2,100)</f>
        <v>SELLING, GENERAL &amp; ADMINISTRAT</v>
      </c>
      <c r="D973" s="602" t="s">
        <v>2247</v>
      </c>
      <c r="E973" s="601" t="s">
        <v>2122</v>
      </c>
      <c r="F973" s="601" t="s">
        <v>551</v>
      </c>
      <c r="G973" s="601">
        <v>9753596</v>
      </c>
      <c r="H973" s="601">
        <v>7471169</v>
      </c>
      <c r="I973" s="601">
        <v>7950139</v>
      </c>
      <c r="J973" s="601">
        <v>7769276</v>
      </c>
      <c r="K973" s="601">
        <v>6651346</v>
      </c>
      <c r="L973" s="601" t="s">
        <v>23</v>
      </c>
    </row>
    <row r="974" spans="1:12" hidden="1">
      <c r="A974" s="601" t="s">
        <v>2248</v>
      </c>
      <c r="B974" s="601" t="str">
        <f t="shared" si="15"/>
        <v xml:space="preserve">HENNES </v>
      </c>
      <c r="C974" s="601" t="str">
        <f>MID(Table3[[#This Row],[Statement Code]],FIND("- ",Table3[[#This Row],[Statement Code]])+2,100)</f>
        <v>SHORT TERM DEBT &amp; CURRENT PORT</v>
      </c>
      <c r="D974" s="602" t="s">
        <v>2249</v>
      </c>
      <c r="E974" s="601" t="s">
        <v>2122</v>
      </c>
      <c r="F974" s="601" t="s">
        <v>551</v>
      </c>
      <c r="G974" s="601">
        <v>726783</v>
      </c>
      <c r="H974" s="601">
        <v>2418433</v>
      </c>
      <c r="I974" s="601">
        <v>1397100</v>
      </c>
      <c r="J974" s="601">
        <v>1276598</v>
      </c>
      <c r="K974" s="601">
        <v>1353650</v>
      </c>
      <c r="L974" s="601" t="s">
        <v>23</v>
      </c>
    </row>
    <row r="975" spans="1:12">
      <c r="A975" s="601" t="s">
        <v>2250</v>
      </c>
      <c r="B975" s="601" t="str">
        <f t="shared" si="15"/>
        <v xml:space="preserve">HENNES </v>
      </c>
      <c r="C975" s="601" t="str">
        <f>MID(Table3[[#This Row],[Statement Code]],FIND("- ",Table3[[#This Row],[Statement Code]])+2,100)</f>
        <v>TOTAL ASSETS</v>
      </c>
      <c r="D975" s="602" t="s">
        <v>2251</v>
      </c>
      <c r="E975" s="601" t="s">
        <v>2122</v>
      </c>
      <c r="F975" s="601" t="s">
        <v>551</v>
      </c>
      <c r="G975" s="601">
        <v>11973528</v>
      </c>
      <c r="H975" s="601">
        <v>19263515</v>
      </c>
      <c r="I975" s="601">
        <v>20052086</v>
      </c>
      <c r="J975" s="601">
        <v>16342594</v>
      </c>
      <c r="K975" s="601">
        <v>15679550</v>
      </c>
      <c r="L975" s="601" t="s">
        <v>23</v>
      </c>
    </row>
    <row r="976" spans="1:12" hidden="1">
      <c r="A976" s="601" t="s">
        <v>2252</v>
      </c>
      <c r="B976" s="601" t="str">
        <f t="shared" si="15"/>
        <v xml:space="preserve">HENNES </v>
      </c>
      <c r="C976" s="601" t="str">
        <f>MID(Table3[[#This Row],[Statement Code]],FIND("- ",Table3[[#This Row],[Statement Code]])+2,100)</f>
        <v>TOTAL CAPITAL</v>
      </c>
      <c r="D976" s="602" t="s">
        <v>2253</v>
      </c>
      <c r="E976" s="601" t="s">
        <v>2122</v>
      </c>
      <c r="F976" s="601" t="s">
        <v>551</v>
      </c>
      <c r="G976" s="601">
        <v>6979842</v>
      </c>
      <c r="H976" s="601">
        <v>12965241</v>
      </c>
      <c r="I976" s="601">
        <v>13192086</v>
      </c>
      <c r="J976" s="601">
        <v>10212969</v>
      </c>
      <c r="K976" s="601">
        <v>9860918</v>
      </c>
      <c r="L976" s="601" t="s">
        <v>23</v>
      </c>
    </row>
    <row r="977" spans="1:12">
      <c r="A977" s="601" t="s">
        <v>2254</v>
      </c>
      <c r="B977" s="601" t="str">
        <f t="shared" si="15"/>
        <v xml:space="preserve">HENNES </v>
      </c>
      <c r="C977" s="601" t="str">
        <f>MID(Table3[[#This Row],[Statement Code]],FIND("- ",Table3[[#This Row],[Statement Code]])+2,100)</f>
        <v>TOTAL DEBT</v>
      </c>
      <c r="D977" s="602" t="s">
        <v>2255</v>
      </c>
      <c r="E977" s="601" t="s">
        <v>2122</v>
      </c>
      <c r="F977" s="601" t="s">
        <v>551</v>
      </c>
      <c r="G977" s="601">
        <v>1824225</v>
      </c>
      <c r="H977" s="601">
        <v>9144793</v>
      </c>
      <c r="I977" s="601">
        <v>7678756</v>
      </c>
      <c r="J977" s="601">
        <v>6763361</v>
      </c>
      <c r="K977" s="601">
        <v>6963390</v>
      </c>
      <c r="L977" s="601" t="s">
        <v>23</v>
      </c>
    </row>
    <row r="978" spans="1:12" hidden="1">
      <c r="A978" s="601" t="s">
        <v>2256</v>
      </c>
      <c r="B978" s="601" t="str">
        <f t="shared" si="15"/>
        <v xml:space="preserve">HENNES </v>
      </c>
      <c r="C978" s="601" t="str">
        <f>MID(Table3[[#This Row],[Statement Code]],FIND("- ",Table3[[#This Row],[Statement Code]])+2,100)</f>
        <v>TOTAL INTANGIBLE OT ASSETS-NET</v>
      </c>
      <c r="D978" s="602" t="s">
        <v>2257</v>
      </c>
      <c r="E978" s="601" t="s">
        <v>2122</v>
      </c>
      <c r="F978" s="601" t="s">
        <v>551</v>
      </c>
      <c r="G978" s="601">
        <v>1180005</v>
      </c>
      <c r="H978" s="601">
        <v>1191513</v>
      </c>
      <c r="I978" s="601">
        <v>1100271</v>
      </c>
      <c r="J978" s="601">
        <v>852555</v>
      </c>
      <c r="K978" s="601">
        <v>868526</v>
      </c>
      <c r="L978" s="601" t="s">
        <v>23</v>
      </c>
    </row>
    <row r="979" spans="1:12">
      <c r="A979" s="601" t="s">
        <v>2258</v>
      </c>
      <c r="B979" s="601" t="str">
        <f t="shared" si="15"/>
        <v xml:space="preserve">HENNES </v>
      </c>
      <c r="C979" s="601" t="str">
        <f>MID(Table3[[#This Row],[Statement Code]],FIND("- ",Table3[[#This Row],[Statement Code]])+2,100)</f>
        <v>TOTAL LIABILITIES</v>
      </c>
      <c r="D979" s="602" t="s">
        <v>2259</v>
      </c>
      <c r="E979" s="601" t="s">
        <v>2122</v>
      </c>
      <c r="F979" s="601" t="s">
        <v>551</v>
      </c>
      <c r="G979" s="601">
        <v>6091127</v>
      </c>
      <c r="H979" s="601">
        <v>13024634</v>
      </c>
      <c r="I979" s="601">
        <v>13141655</v>
      </c>
      <c r="J979" s="601">
        <v>11616389</v>
      </c>
      <c r="K979" s="601">
        <v>11428372</v>
      </c>
      <c r="L979" s="601" t="s">
        <v>23</v>
      </c>
    </row>
    <row r="980" spans="1:12" hidden="1">
      <c r="A980" s="601" t="s">
        <v>2260</v>
      </c>
      <c r="B980" s="601" t="str">
        <f t="shared" si="15"/>
        <v xml:space="preserve">HENNES </v>
      </c>
      <c r="C980" s="601" t="str">
        <f>MID(Table3[[#This Row],[Statement Code]],FIND("- ",Table3[[#This Row],[Statement Code]])+2,100)</f>
        <v>TOTAL LIABILITIES &amp; SHAREHOLDE</v>
      </c>
      <c r="D980" s="602" t="s">
        <v>2261</v>
      </c>
      <c r="E980" s="601" t="s">
        <v>2122</v>
      </c>
      <c r="F980" s="601" t="s">
        <v>551</v>
      </c>
      <c r="G980" s="601">
        <v>11973528</v>
      </c>
      <c r="H980" s="601">
        <v>19263515</v>
      </c>
      <c r="I980" s="601">
        <v>20052086</v>
      </c>
      <c r="J980" s="601">
        <v>16342594</v>
      </c>
      <c r="K980" s="601">
        <v>15679550</v>
      </c>
      <c r="L980" s="601" t="s">
        <v>23</v>
      </c>
    </row>
    <row r="981" spans="1:12" hidden="1">
      <c r="A981" s="601" t="s">
        <v>2262</v>
      </c>
      <c r="B981" s="601" t="str">
        <f t="shared" si="15"/>
        <v xml:space="preserve">HENNES </v>
      </c>
      <c r="C981" s="601" t="str">
        <f>MID(Table3[[#This Row],[Statement Code]],FIND("- ",Table3[[#This Row],[Statement Code]])+2,100)</f>
        <v>TOTAL SHAREHOLDERS EQUITY</v>
      </c>
      <c r="D981" s="602" t="s">
        <v>2263</v>
      </c>
      <c r="E981" s="601" t="s">
        <v>2122</v>
      </c>
      <c r="F981" s="601" t="s">
        <v>551</v>
      </c>
      <c r="G981" s="601">
        <v>5882400</v>
      </c>
      <c r="H981" s="601">
        <v>6238881</v>
      </c>
      <c r="I981" s="601">
        <v>6910431</v>
      </c>
      <c r="J981" s="601">
        <v>4726206</v>
      </c>
      <c r="K981" s="601">
        <v>4243854</v>
      </c>
      <c r="L981" s="601" t="s">
        <v>23</v>
      </c>
    </row>
    <row r="982" spans="1:12" hidden="1">
      <c r="A982" s="601" t="s">
        <v>2264</v>
      </c>
      <c r="B982" s="601" t="str">
        <f t="shared" si="15"/>
        <v xml:space="preserve">HENNES </v>
      </c>
      <c r="C982" s="601" t="str">
        <f>MID(Table3[[#This Row],[Statement Code]],FIND("- ",Table3[[#This Row],[Statement Code]])+2,100)</f>
        <v>WORKING CAPITAL</v>
      </c>
      <c r="D982" s="602" t="s">
        <v>2265</v>
      </c>
      <c r="E982" s="601" t="s">
        <v>2122</v>
      </c>
      <c r="F982" s="601" t="s">
        <v>551</v>
      </c>
      <c r="G982" s="601">
        <v>1487994</v>
      </c>
      <c r="H982" s="601">
        <v>1039490</v>
      </c>
      <c r="I982" s="601">
        <v>2050516</v>
      </c>
      <c r="J982" s="601">
        <v>1041763</v>
      </c>
      <c r="K982" s="601">
        <v>1125467</v>
      </c>
      <c r="L982" s="601" t="s">
        <v>23</v>
      </c>
    </row>
    <row r="983" spans="1:12" hidden="1">
      <c r="A983" s="601" t="s">
        <v>2266</v>
      </c>
      <c r="B983" s="601" t="str">
        <f t="shared" si="15"/>
        <v xml:space="preserve">HENNES </v>
      </c>
      <c r="C983" s="601" t="str">
        <f>MID(Table3[[#This Row],[Statement Code]],FIND("- ",Table3[[#This Row],[Statement Code]])+2,100)</f>
        <v>BK VAL PS 12M FWD</v>
      </c>
      <c r="D983" s="602" t="s">
        <v>2267</v>
      </c>
      <c r="E983" s="601" t="s">
        <v>2122</v>
      </c>
      <c r="F983" s="601" t="s">
        <v>551</v>
      </c>
      <c r="G983" s="601">
        <v>3.4</v>
      </c>
      <c r="H983" s="601">
        <v>3.95</v>
      </c>
      <c r="I983" s="601">
        <v>4.58</v>
      </c>
      <c r="J983" s="601">
        <v>3.26</v>
      </c>
      <c r="K983" s="601">
        <v>2.88</v>
      </c>
      <c r="L983" s="601">
        <v>3.12</v>
      </c>
    </row>
    <row r="984" spans="1:12" hidden="1">
      <c r="A984" s="601" t="s">
        <v>2268</v>
      </c>
      <c r="B984" s="601" t="str">
        <f t="shared" si="15"/>
        <v xml:space="preserve">HENNES </v>
      </c>
      <c r="C984" s="601" t="str">
        <f>MID(Table3[[#This Row],[Statement Code]],FIND("- ",Table3[[#This Row],[Statement Code]])+2,100)</f>
        <v>EV 12M FWD</v>
      </c>
      <c r="D984" s="602" t="s">
        <v>2269</v>
      </c>
      <c r="E984" s="601" t="s">
        <v>2122</v>
      </c>
      <c r="F984" s="601" t="s">
        <v>551</v>
      </c>
      <c r="G984" s="601">
        <v>29058413.809999999</v>
      </c>
      <c r="H984" s="601">
        <v>30762756.940000001</v>
      </c>
      <c r="I984" s="601">
        <v>35126206.090000004</v>
      </c>
      <c r="J984" s="601">
        <v>19176838.149999999</v>
      </c>
      <c r="K984" s="601">
        <v>25793118.079999998</v>
      </c>
      <c r="L984" s="601">
        <v>28226435.719999999</v>
      </c>
    </row>
    <row r="985" spans="1:12" hidden="1">
      <c r="A985" s="601" t="s">
        <v>2270</v>
      </c>
      <c r="B985" s="601" t="str">
        <f t="shared" si="15"/>
        <v xml:space="preserve">HENNES </v>
      </c>
      <c r="C985" s="601" t="str">
        <f>MID(Table3[[#This Row],[Statement Code]],FIND("- ",Table3[[#This Row],[Statement Code]])+2,100)</f>
        <v>NET INCOME 12M FWD</v>
      </c>
      <c r="D985" s="602" t="s">
        <v>2271</v>
      </c>
      <c r="E985" s="601" t="s">
        <v>2122</v>
      </c>
      <c r="F985" s="601" t="s">
        <v>551</v>
      </c>
      <c r="G985" s="601">
        <v>1380070.19</v>
      </c>
      <c r="H985" s="601">
        <v>1033488.13</v>
      </c>
      <c r="I985" s="601">
        <v>1620432.84</v>
      </c>
      <c r="J985" s="601">
        <v>1059203.49</v>
      </c>
      <c r="K985" s="601">
        <v>1249705.4099999999</v>
      </c>
      <c r="L985" s="601">
        <v>1462411.11</v>
      </c>
    </row>
    <row r="986" spans="1:12" hidden="1">
      <c r="A986" s="601" t="s">
        <v>2272</v>
      </c>
      <c r="B986" s="601" t="str">
        <f t="shared" si="15"/>
        <v xml:space="preserve">HENNES </v>
      </c>
      <c r="C986" s="601" t="str">
        <f>MID(Table3[[#This Row],[Statement Code]],FIND("- ",Table3[[#This Row],[Statement Code]])+2,100)</f>
        <v>PRETAX PRF 12M FWD</v>
      </c>
      <c r="D986" s="602" t="s">
        <v>2273</v>
      </c>
      <c r="E986" s="601" t="s">
        <v>2122</v>
      </c>
      <c r="F986" s="601" t="s">
        <v>551</v>
      </c>
      <c r="G986" s="601">
        <v>1776348.98</v>
      </c>
      <c r="H986" s="601">
        <v>1336154.1000000001</v>
      </c>
      <c r="I986" s="601">
        <v>2132718.94</v>
      </c>
      <c r="J986" s="601">
        <v>1369795.84</v>
      </c>
      <c r="K986" s="601">
        <v>1658890.44</v>
      </c>
      <c r="L986" s="601">
        <v>1942155.27</v>
      </c>
    </row>
    <row r="987" spans="1:12" hidden="1">
      <c r="A987" s="601" t="s">
        <v>2274</v>
      </c>
      <c r="B987" s="601" t="str">
        <f t="shared" si="15"/>
        <v xml:space="preserve">HENNES </v>
      </c>
      <c r="C987" s="601" t="str">
        <f>MID(Table3[[#This Row],[Statement Code]],FIND("- ",Table3[[#This Row],[Statement Code]])+2,100)</f>
        <v>ROE 12M FWD</v>
      </c>
      <c r="D987" s="602" t="s">
        <v>2275</v>
      </c>
      <c r="E987" s="601" t="s">
        <v>2122</v>
      </c>
      <c r="F987" s="601" t="s">
        <v>551</v>
      </c>
      <c r="G987" s="601">
        <v>2.52</v>
      </c>
      <c r="H987" s="601">
        <v>1.92</v>
      </c>
      <c r="I987" s="601">
        <v>2.77</v>
      </c>
      <c r="J987" s="601">
        <v>1.88</v>
      </c>
      <c r="K987" s="601">
        <v>2.56</v>
      </c>
      <c r="L987" s="601">
        <v>3.14</v>
      </c>
    </row>
    <row r="988" spans="1:12" hidden="1">
      <c r="A988" s="601" t="s">
        <v>2276</v>
      </c>
      <c r="B988" s="601" t="str">
        <f t="shared" si="15"/>
        <v xml:space="preserve">HENNES </v>
      </c>
      <c r="C988" s="601" t="str">
        <f>MID(Table3[[#This Row],[Statement Code]],FIND("- ",Table3[[#This Row],[Statement Code]])+2,100)</f>
        <v>SALES 12M FWD</v>
      </c>
      <c r="D988" s="602" t="s">
        <v>2277</v>
      </c>
      <c r="E988" s="601" t="s">
        <v>2122</v>
      </c>
      <c r="F988" s="601" t="s">
        <v>551</v>
      </c>
      <c r="G988" s="601">
        <v>24376266.98</v>
      </c>
      <c r="H988" s="601">
        <v>24723992.48</v>
      </c>
      <c r="I988" s="601">
        <v>25448032.539999999</v>
      </c>
      <c r="J988" s="601">
        <v>21105853.309999999</v>
      </c>
      <c r="K988" s="601">
        <v>22462715.399999999</v>
      </c>
      <c r="L988" s="601">
        <v>23958969.370000001</v>
      </c>
    </row>
    <row r="989" spans="1:12" hidden="1">
      <c r="A989" s="601" t="s">
        <v>2278</v>
      </c>
      <c r="B989" s="601" t="str">
        <f t="shared" si="15"/>
        <v xml:space="preserve">HENNES </v>
      </c>
      <c r="C989" s="601" t="str">
        <f>MID(Table3[[#This Row],[Statement Code]],FIND("- ",Table3[[#This Row],[Statement Code]])+2,100)</f>
        <v>DECREASE/INCREASE RECEIVABLES</v>
      </c>
      <c r="D989" s="602" t="s">
        <v>2279</v>
      </c>
      <c r="E989" s="601" t="s">
        <v>2122</v>
      </c>
      <c r="F989" s="601" t="s">
        <v>551</v>
      </c>
      <c r="G989" s="601">
        <v>77616</v>
      </c>
      <c r="H989" s="601">
        <v>156820</v>
      </c>
      <c r="I989" s="601">
        <v>-84743</v>
      </c>
      <c r="J989" s="601">
        <v>-42088</v>
      </c>
      <c r="K989" s="601">
        <v>-53049</v>
      </c>
      <c r="L989" s="601" t="s">
        <v>23</v>
      </c>
    </row>
    <row r="990" spans="1:12" hidden="1">
      <c r="A990" s="601" t="s">
        <v>2280</v>
      </c>
      <c r="B990" s="601" t="str">
        <f t="shared" si="15"/>
        <v xml:space="preserve">HENNES </v>
      </c>
      <c r="C990" s="601" t="str">
        <f>MID(Table3[[#This Row],[Statement Code]],FIND("- ",Table3[[#This Row],[Statement Code]])+2,100)</f>
        <v>DECREASE/INCR OTH ASTS/LIABILT</v>
      </c>
      <c r="D990" s="602" t="s">
        <v>2281</v>
      </c>
      <c r="E990" s="601" t="s">
        <v>2122</v>
      </c>
      <c r="F990" s="601" t="s">
        <v>551</v>
      </c>
      <c r="G990" s="601">
        <v>330562</v>
      </c>
      <c r="H990" s="601">
        <v>251163</v>
      </c>
      <c r="I990" s="601">
        <v>1434521</v>
      </c>
      <c r="J990" s="601">
        <v>241911</v>
      </c>
      <c r="K990" s="601">
        <v>16879</v>
      </c>
      <c r="L990" s="601" t="s">
        <v>23</v>
      </c>
    </row>
    <row r="991" spans="1:12" hidden="1">
      <c r="A991" s="601" t="s">
        <v>2282</v>
      </c>
      <c r="B991" s="601" t="str">
        <f t="shared" si="15"/>
        <v xml:space="preserve">HENNES </v>
      </c>
      <c r="C991" s="601" t="str">
        <f>MID(Table3[[#This Row],[Statement Code]],FIND("- ",Table3[[#This Row],[Statement Code]])+2,100)</f>
        <v>DECREASE/INCREASE INVENTORIES</v>
      </c>
      <c r="D991" s="602" t="s">
        <v>2283</v>
      </c>
      <c r="E991" s="601" t="s">
        <v>2122</v>
      </c>
      <c r="F991" s="601" t="s">
        <v>551</v>
      </c>
      <c r="G991" s="601">
        <v>28140</v>
      </c>
      <c r="H991" s="601">
        <v>-226150</v>
      </c>
      <c r="I991" s="601">
        <v>145421</v>
      </c>
      <c r="J991" s="601">
        <v>-347689</v>
      </c>
      <c r="K991" s="601">
        <v>468691</v>
      </c>
      <c r="L991" s="601" t="s">
        <v>23</v>
      </c>
    </row>
    <row r="992" spans="1:12" hidden="1">
      <c r="A992" s="601" t="s">
        <v>2284</v>
      </c>
      <c r="B992" s="601" t="str">
        <f t="shared" si="15"/>
        <v xml:space="preserve">HENNES </v>
      </c>
      <c r="C992" s="601" t="str">
        <f>MID(Table3[[#This Row],[Statement Code]],FIND("- ",Table3[[#This Row],[Statement Code]])+2,100)</f>
        <v>DECREASE IN INVESTMENTS</v>
      </c>
      <c r="D992" s="602" t="s">
        <v>2285</v>
      </c>
      <c r="E992" s="601" t="s">
        <v>2122</v>
      </c>
      <c r="F992" s="601" t="s">
        <v>551</v>
      </c>
      <c r="G992" s="601">
        <v>0</v>
      </c>
      <c r="H992" s="601">
        <v>0</v>
      </c>
      <c r="I992" s="601">
        <v>0</v>
      </c>
      <c r="J992" s="601">
        <v>0</v>
      </c>
      <c r="K992" s="601">
        <v>0</v>
      </c>
      <c r="L992" s="601" t="s">
        <v>23</v>
      </c>
    </row>
    <row r="993" spans="1:12" hidden="1">
      <c r="A993" s="601" t="s">
        <v>2286</v>
      </c>
      <c r="B993" s="601" t="str">
        <f t="shared" si="15"/>
        <v xml:space="preserve">LVMH </v>
      </c>
      <c r="C993" s="601" t="str">
        <f>MID(Table3[[#This Row],[Statement Code]],FIND("- ",Table3[[#This Row],[Statement Code]])+2,100)</f>
        <v>MARKET VALUE</v>
      </c>
      <c r="D993" s="602" t="s">
        <v>2287</v>
      </c>
      <c r="E993" s="601" t="s">
        <v>2288</v>
      </c>
      <c r="F993" s="601" t="s">
        <v>551</v>
      </c>
      <c r="G993" s="601">
        <v>203853.61</v>
      </c>
      <c r="H993" s="601">
        <v>247737.75</v>
      </c>
      <c r="I993" s="601">
        <v>373831.51</v>
      </c>
      <c r="J993" s="601">
        <v>322804.01</v>
      </c>
      <c r="K993" s="601">
        <v>397966.12</v>
      </c>
      <c r="L993" s="601">
        <v>331358.59000000003</v>
      </c>
    </row>
    <row r="994" spans="1:12" hidden="1">
      <c r="A994" s="601" t="s">
        <v>2289</v>
      </c>
      <c r="B994" s="601" t="str">
        <f t="shared" si="15"/>
        <v xml:space="preserve">LVMH </v>
      </c>
      <c r="C994" s="601" t="str">
        <f>MID(Table3[[#This Row],[Statement Code]],FIND("- ",Table3[[#This Row],[Statement Code]])+2,100)</f>
        <v>PER</v>
      </c>
      <c r="D994" s="602" t="s">
        <v>2290</v>
      </c>
      <c r="E994" s="601" t="s">
        <v>2288</v>
      </c>
      <c r="F994" s="601" t="s">
        <v>717</v>
      </c>
      <c r="G994" s="601">
        <v>27.7</v>
      </c>
      <c r="H994" s="601">
        <v>47</v>
      </c>
      <c r="I994" s="601">
        <v>33.6</v>
      </c>
      <c r="J994" s="601">
        <v>24.2</v>
      </c>
      <c r="K994" s="601">
        <v>23.2</v>
      </c>
      <c r="L994" s="601">
        <v>21.3</v>
      </c>
    </row>
    <row r="995" spans="1:12" hidden="1">
      <c r="A995" s="601" t="s">
        <v>2291</v>
      </c>
      <c r="B995" s="601" t="str">
        <f t="shared" si="15"/>
        <v xml:space="preserve">LVMH </v>
      </c>
      <c r="C995" s="601" t="str">
        <f>MID(Table3[[#This Row],[Statement Code]],FIND("- ",Table3[[#This Row],[Statement Code]])+2,100)</f>
        <v>12MTH FORWARD EPS</v>
      </c>
      <c r="D995" s="602" t="s">
        <v>2292</v>
      </c>
      <c r="E995" s="601" t="s">
        <v>2288</v>
      </c>
      <c r="F995" s="601" t="s">
        <v>551</v>
      </c>
      <c r="G995" s="601">
        <v>17.02</v>
      </c>
      <c r="H995" s="601">
        <v>14.574999999999999</v>
      </c>
      <c r="I995" s="601">
        <v>25.745999999999999</v>
      </c>
      <c r="J995" s="601">
        <v>30.140999999999998</v>
      </c>
      <c r="K995" s="601">
        <v>37.56</v>
      </c>
      <c r="L995" s="601">
        <v>35.183</v>
      </c>
    </row>
    <row r="996" spans="1:12" hidden="1">
      <c r="A996" s="601" t="s">
        <v>220</v>
      </c>
      <c r="B996" s="601" t="e">
        <f t="shared" si="15"/>
        <v>#VALUE!</v>
      </c>
      <c r="C996" s="601" t="e">
        <f>MID(Table3[[#This Row],[Statement Code]],FIND("- ",Table3[[#This Row],[Statement Code]])+2,100)</f>
        <v>#VALUE!</v>
      </c>
      <c r="D996" s="602" t="s">
        <v>2293</v>
      </c>
      <c r="E996" s="601" t="s">
        <v>2288</v>
      </c>
      <c r="F996" s="601" t="s">
        <v>717</v>
      </c>
      <c r="G996" s="601">
        <v>4.28</v>
      </c>
      <c r="H996" s="601">
        <v>2.899</v>
      </c>
      <c r="I996" s="601">
        <v>3.391</v>
      </c>
      <c r="J996" s="601">
        <v>4.617</v>
      </c>
      <c r="K996" s="601">
        <v>4.7910000000000004</v>
      </c>
      <c r="L996" s="601">
        <v>5.31</v>
      </c>
    </row>
    <row r="997" spans="1:12" hidden="1">
      <c r="A997" s="601" t="s">
        <v>220</v>
      </c>
      <c r="B997" s="601" t="e">
        <f t="shared" si="15"/>
        <v>#VALUE!</v>
      </c>
      <c r="C997" s="601" t="e">
        <f>MID(Table3[[#This Row],[Statement Code]],FIND("- ",Table3[[#This Row],[Statement Code]])+2,100)</f>
        <v>#VALUE!</v>
      </c>
      <c r="D997" s="602" t="s">
        <v>2294</v>
      </c>
      <c r="E997" s="601" t="s">
        <v>2288</v>
      </c>
      <c r="F997" s="601" t="s">
        <v>23</v>
      </c>
      <c r="G997" s="601">
        <v>17.129000000000001</v>
      </c>
      <c r="H997" s="601">
        <v>22.800999999999998</v>
      </c>
      <c r="I997" s="601">
        <v>20.977</v>
      </c>
      <c r="J997" s="601">
        <v>15.545999999999999</v>
      </c>
      <c r="K997" s="601">
        <v>15.664999999999999</v>
      </c>
      <c r="L997" s="601">
        <v>13.879</v>
      </c>
    </row>
    <row r="998" spans="1:12" hidden="1">
      <c r="A998" s="601" t="s">
        <v>220</v>
      </c>
      <c r="B998" s="601" t="e">
        <f t="shared" si="15"/>
        <v>#VALUE!</v>
      </c>
      <c r="C998" s="601" t="e">
        <f>MID(Table3[[#This Row],[Statement Code]],FIND("- ",Table3[[#This Row],[Statement Code]])+2,100)</f>
        <v>#VALUE!</v>
      </c>
      <c r="D998" s="602" t="s">
        <v>2295</v>
      </c>
      <c r="E998" s="601" t="s">
        <v>2288</v>
      </c>
      <c r="F998" s="601" t="s">
        <v>23</v>
      </c>
      <c r="G998" s="601">
        <v>13.893000000000001</v>
      </c>
      <c r="H998" s="601">
        <v>16.466999999999999</v>
      </c>
      <c r="I998" s="601">
        <v>16.303999999999998</v>
      </c>
      <c r="J998" s="601">
        <v>12.484999999999999</v>
      </c>
      <c r="K998" s="601">
        <v>12.798</v>
      </c>
      <c r="L998" s="601">
        <v>11.045</v>
      </c>
    </row>
    <row r="999" spans="1:12" hidden="1">
      <c r="A999" s="601" t="s">
        <v>220</v>
      </c>
      <c r="B999" s="601" t="e">
        <f t="shared" si="15"/>
        <v>#VALUE!</v>
      </c>
      <c r="C999" s="601" t="e">
        <f>MID(Table3[[#This Row],[Statement Code]],FIND("- ",Table3[[#This Row],[Statement Code]])+2,100)</f>
        <v>#VALUE!</v>
      </c>
      <c r="D999" s="602" t="s">
        <v>2296</v>
      </c>
      <c r="E999" s="601" t="s">
        <v>2288</v>
      </c>
      <c r="F999" s="601" t="s">
        <v>717</v>
      </c>
      <c r="G999" s="601">
        <v>4.4000000000000004</v>
      </c>
      <c r="H999" s="601">
        <v>2.8066</v>
      </c>
      <c r="I999" s="601">
        <v>3.7816999999999998</v>
      </c>
      <c r="J999" s="601">
        <v>4.6165000000000003</v>
      </c>
      <c r="K999" s="601">
        <v>4.3855000000000004</v>
      </c>
      <c r="L999" s="601">
        <v>5.9772999999999996</v>
      </c>
    </row>
    <row r="1000" spans="1:12" hidden="1">
      <c r="A1000" s="601" t="s">
        <v>220</v>
      </c>
      <c r="B1000" s="601" t="e">
        <f t="shared" si="15"/>
        <v>#VALUE!</v>
      </c>
      <c r="C1000" s="601" t="e">
        <f>MID(Table3[[#This Row],[Statement Code]],FIND("- ",Table3[[#This Row],[Statement Code]])+2,100)</f>
        <v>#VALUE!</v>
      </c>
      <c r="D1000" s="602" t="s">
        <v>2297</v>
      </c>
      <c r="E1000" s="601" t="s">
        <v>2288</v>
      </c>
      <c r="F1000" s="601" t="s">
        <v>23</v>
      </c>
      <c r="G1000" s="601">
        <v>3.7109999999999999</v>
      </c>
      <c r="H1000" s="601">
        <v>4.3760000000000003</v>
      </c>
      <c r="I1000" s="601">
        <v>5.298</v>
      </c>
      <c r="J1000" s="601">
        <v>4.2690000000000001</v>
      </c>
      <c r="K1000" s="601">
        <v>4.2850000000000001</v>
      </c>
      <c r="L1000" s="601">
        <v>3.5710000000000002</v>
      </c>
    </row>
    <row r="1001" spans="1:12" hidden="1">
      <c r="A1001" s="601" t="s">
        <v>220</v>
      </c>
      <c r="B1001" s="601" t="e">
        <f t="shared" si="15"/>
        <v>#VALUE!</v>
      </c>
      <c r="C1001" s="601" t="e">
        <f>MID(Table3[[#This Row],[Statement Code]],FIND("- ",Table3[[#This Row],[Statement Code]])+2,100)</f>
        <v>#VALUE!</v>
      </c>
      <c r="D1001" s="602" t="s">
        <v>2298</v>
      </c>
      <c r="E1001" s="601" t="s">
        <v>2288</v>
      </c>
      <c r="F1001" s="601" t="s">
        <v>717</v>
      </c>
      <c r="G1001" s="601">
        <v>0.187</v>
      </c>
      <c r="H1001" s="601">
        <v>0.996</v>
      </c>
      <c r="I1001" s="601">
        <v>0.63400000000000001</v>
      </c>
      <c r="J1001" s="601">
        <v>-2.8000000000000001E-2</v>
      </c>
      <c r="K1001" s="601">
        <v>-6.2E-2</v>
      </c>
      <c r="L1001" s="601">
        <v>0.161</v>
      </c>
    </row>
    <row r="1002" spans="1:12" hidden="1">
      <c r="A1002" s="601" t="s">
        <v>220</v>
      </c>
      <c r="B1002" s="601" t="e">
        <f t="shared" si="15"/>
        <v>#VALUE!</v>
      </c>
      <c r="C1002" s="601" t="e">
        <f>MID(Table3[[#This Row],[Statement Code]],FIND("- ",Table3[[#This Row],[Statement Code]])+2,100)</f>
        <v>#VALUE!</v>
      </c>
      <c r="D1002" s="602" t="s">
        <v>2299</v>
      </c>
      <c r="E1002" s="601" t="s">
        <v>2288</v>
      </c>
      <c r="F1002" s="601" t="s">
        <v>717</v>
      </c>
      <c r="G1002" s="601">
        <v>1.4E-2</v>
      </c>
      <c r="H1002" s="601">
        <v>5.8000000000000003E-2</v>
      </c>
      <c r="I1002" s="601">
        <v>3.7999999999999999E-2</v>
      </c>
      <c r="J1002" s="601">
        <v>-3.0000000000000001E-3</v>
      </c>
      <c r="K1002" s="601">
        <v>-4.0000000000000001E-3</v>
      </c>
      <c r="L1002" s="601">
        <v>1.4E-2</v>
      </c>
    </row>
    <row r="1003" spans="1:12" hidden="1">
      <c r="A1003" s="601" t="s">
        <v>220</v>
      </c>
      <c r="B1003" s="601" t="e">
        <f t="shared" si="15"/>
        <v>#VALUE!</v>
      </c>
      <c r="C1003" s="601" t="e">
        <f>MID(Table3[[#This Row],[Statement Code]],FIND("- ",Table3[[#This Row],[Statement Code]])+2,100)</f>
        <v>#VALUE!</v>
      </c>
      <c r="D1003" s="602" t="s">
        <v>2300</v>
      </c>
      <c r="E1003" s="601" t="s">
        <v>2288</v>
      </c>
      <c r="F1003" s="601" t="s">
        <v>717</v>
      </c>
      <c r="G1003" s="601">
        <v>1.58</v>
      </c>
      <c r="H1003" s="601">
        <v>1.77</v>
      </c>
      <c r="I1003" s="601">
        <v>1.58</v>
      </c>
      <c r="J1003" s="601">
        <v>1.69</v>
      </c>
      <c r="K1003" s="601">
        <v>1.52</v>
      </c>
      <c r="L1003" s="601">
        <v>1.32</v>
      </c>
    </row>
    <row r="1004" spans="1:12" hidden="1">
      <c r="A1004" s="601" t="s">
        <v>220</v>
      </c>
      <c r="B1004" s="601" t="e">
        <f t="shared" si="15"/>
        <v>#VALUE!</v>
      </c>
      <c r="C1004" s="601" t="e">
        <f>MID(Table3[[#This Row],[Statement Code]],FIND("- ",Table3[[#This Row],[Statement Code]])+2,100)</f>
        <v>#VALUE!</v>
      </c>
      <c r="D1004" s="602" t="s">
        <v>2301</v>
      </c>
      <c r="E1004" s="601" t="s">
        <v>2288</v>
      </c>
      <c r="F1004" s="601" t="s">
        <v>717</v>
      </c>
      <c r="G1004" s="601">
        <v>0.94</v>
      </c>
      <c r="H1004" s="601">
        <v>1</v>
      </c>
      <c r="I1004" s="601">
        <v>0.87</v>
      </c>
      <c r="J1004" s="601">
        <v>0.87</v>
      </c>
      <c r="K1004" s="601">
        <v>0.83</v>
      </c>
      <c r="L1004" s="601">
        <v>0.77</v>
      </c>
    </row>
    <row r="1005" spans="1:12" hidden="1">
      <c r="A1005" s="601" t="s">
        <v>220</v>
      </c>
      <c r="B1005" s="601" t="e">
        <f t="shared" si="15"/>
        <v>#VALUE!</v>
      </c>
      <c r="C1005" s="601" t="e">
        <f>MID(Table3[[#This Row],[Statement Code]],FIND("- ",Table3[[#This Row],[Statement Code]])+2,100)</f>
        <v>#VALUE!</v>
      </c>
      <c r="D1005" s="602" t="s">
        <v>2302</v>
      </c>
      <c r="E1005" s="601" t="s">
        <v>2288</v>
      </c>
      <c r="F1005" s="601" t="s">
        <v>717</v>
      </c>
      <c r="G1005" s="601">
        <v>4.5728</v>
      </c>
      <c r="H1005" s="601">
        <v>5.1416000000000004</v>
      </c>
      <c r="I1005" s="601">
        <v>6.3333000000000004</v>
      </c>
      <c r="J1005" s="601">
        <v>5.0773000000000001</v>
      </c>
      <c r="K1005" s="601">
        <v>5.1474000000000002</v>
      </c>
      <c r="L1005" s="601">
        <v>3.9860000000000002</v>
      </c>
    </row>
    <row r="1006" spans="1:12">
      <c r="A1006" s="601" t="s">
        <v>2303</v>
      </c>
      <c r="B1006" s="601" t="str">
        <f t="shared" si="15"/>
        <v xml:space="preserve">LVMH </v>
      </c>
      <c r="C1006" s="601" t="str">
        <f>MID(Table3[[#This Row],[Statement Code]],FIND("- ",Table3[[#This Row],[Statement Code]])+2,100)</f>
        <v>12MTH TRAILING EPS</v>
      </c>
      <c r="D1006" s="602" t="s">
        <v>2304</v>
      </c>
      <c r="E1006" s="601" t="s">
        <v>2288</v>
      </c>
      <c r="F1006" s="601" t="s">
        <v>551</v>
      </c>
      <c r="G1006" s="601">
        <v>15.273</v>
      </c>
      <c r="H1006" s="601">
        <v>11.414999999999999</v>
      </c>
      <c r="I1006" s="601">
        <v>20.948</v>
      </c>
      <c r="J1006" s="601">
        <v>27.061</v>
      </c>
      <c r="K1006" s="601">
        <v>33.808</v>
      </c>
      <c r="L1006" s="601">
        <v>33.241999999999997</v>
      </c>
    </row>
    <row r="1007" spans="1:12" hidden="1">
      <c r="A1007" s="601" t="s">
        <v>2305</v>
      </c>
      <c r="B1007" s="601" t="str">
        <f t="shared" si="15"/>
        <v xml:space="preserve">LVMH </v>
      </c>
      <c r="C1007" s="601" t="str">
        <f>MID(Table3[[#This Row],[Statement Code]],FIND("- ",Table3[[#This Row],[Statement Code]])+2,100)</f>
        <v>DIV.PER SHR.</v>
      </c>
      <c r="D1007" s="602" t="s">
        <v>2306</v>
      </c>
      <c r="E1007" s="601" t="s">
        <v>2288</v>
      </c>
      <c r="F1007" s="601" t="s">
        <v>551</v>
      </c>
      <c r="G1007" s="601">
        <v>6.64</v>
      </c>
      <c r="H1007" s="601">
        <v>5.69</v>
      </c>
      <c r="I1007" s="601">
        <v>8.2200000000000006</v>
      </c>
      <c r="J1007" s="601">
        <v>12.04</v>
      </c>
      <c r="K1007" s="601">
        <v>13.34</v>
      </c>
      <c r="L1007" s="601">
        <v>14.45</v>
      </c>
    </row>
    <row r="1008" spans="1:12" hidden="1">
      <c r="A1008" s="601" t="s">
        <v>220</v>
      </c>
      <c r="B1008" s="601" t="e">
        <f t="shared" si="15"/>
        <v>#VALUE!</v>
      </c>
      <c r="C1008" s="601" t="e">
        <f>MID(Table3[[#This Row],[Statement Code]],FIND("- ",Table3[[#This Row],[Statement Code]])+2,100)</f>
        <v>#VALUE!</v>
      </c>
      <c r="D1008" s="602" t="s">
        <v>2307</v>
      </c>
      <c r="E1008" s="601" t="s">
        <v>2288</v>
      </c>
      <c r="F1008" s="601" t="s">
        <v>717</v>
      </c>
      <c r="G1008" s="601">
        <v>2.0920000000000001</v>
      </c>
      <c r="H1008" s="601">
        <v>1.417</v>
      </c>
      <c r="I1008" s="601">
        <v>1.329</v>
      </c>
      <c r="J1008" s="601">
        <v>1.956</v>
      </c>
      <c r="K1008" s="601">
        <v>2.0459999999999998</v>
      </c>
      <c r="L1008" s="601">
        <v>2.4319999999999999</v>
      </c>
    </row>
    <row r="1009" spans="1:12" hidden="1">
      <c r="A1009" s="601" t="s">
        <v>2291</v>
      </c>
      <c r="B1009" s="601" t="str">
        <f t="shared" si="15"/>
        <v xml:space="preserve">LVMH </v>
      </c>
      <c r="C1009" s="601" t="str">
        <f>MID(Table3[[#This Row],[Statement Code]],FIND("- ",Table3[[#This Row],[Statement Code]])+2,100)</f>
        <v>12MTH FORWARD EPS</v>
      </c>
      <c r="D1009" s="602" t="s">
        <v>2292</v>
      </c>
      <c r="E1009" s="601" t="s">
        <v>2288</v>
      </c>
      <c r="F1009" s="601" t="s">
        <v>551</v>
      </c>
      <c r="G1009" s="601">
        <v>17.02</v>
      </c>
      <c r="H1009" s="601">
        <v>14.574999999999999</v>
      </c>
      <c r="I1009" s="601">
        <v>25.745999999999999</v>
      </c>
      <c r="J1009" s="601">
        <v>30.140999999999998</v>
      </c>
      <c r="K1009" s="601">
        <v>37.56</v>
      </c>
      <c r="L1009" s="601">
        <v>35.183</v>
      </c>
    </row>
    <row r="1010" spans="1:12" hidden="1">
      <c r="A1010" s="601" t="s">
        <v>2289</v>
      </c>
      <c r="B1010" s="601" t="str">
        <f t="shared" si="15"/>
        <v xml:space="preserve">LVMH </v>
      </c>
      <c r="C1010" s="601" t="str">
        <f>MID(Table3[[#This Row],[Statement Code]],FIND("- ",Table3[[#This Row],[Statement Code]])+2,100)</f>
        <v>PER</v>
      </c>
      <c r="D1010" s="602" t="s">
        <v>2290</v>
      </c>
      <c r="E1010" s="601" t="s">
        <v>2288</v>
      </c>
      <c r="F1010" s="601" t="s">
        <v>717</v>
      </c>
      <c r="G1010" s="601">
        <v>27.7</v>
      </c>
      <c r="H1010" s="601">
        <v>47</v>
      </c>
      <c r="I1010" s="601">
        <v>33.6</v>
      </c>
      <c r="J1010" s="601">
        <v>24.2</v>
      </c>
      <c r="K1010" s="601">
        <v>23.2</v>
      </c>
      <c r="L1010" s="601">
        <v>21.3</v>
      </c>
    </row>
    <row r="1011" spans="1:12" hidden="1">
      <c r="A1011" s="601" t="s">
        <v>2286</v>
      </c>
      <c r="B1011" s="601" t="str">
        <f t="shared" si="15"/>
        <v xml:space="preserve">LVMH </v>
      </c>
      <c r="C1011" s="601" t="str">
        <f>MID(Table3[[#This Row],[Statement Code]],FIND("- ",Table3[[#This Row],[Statement Code]])+2,100)</f>
        <v>MARKET VALUE</v>
      </c>
      <c r="D1011" s="602" t="s">
        <v>2287</v>
      </c>
      <c r="E1011" s="601" t="s">
        <v>2288</v>
      </c>
      <c r="F1011" s="601" t="s">
        <v>551</v>
      </c>
      <c r="G1011" s="601">
        <v>203853.61</v>
      </c>
      <c r="H1011" s="601">
        <v>247737.75</v>
      </c>
      <c r="I1011" s="601">
        <v>373831.51</v>
      </c>
      <c r="J1011" s="601">
        <v>322804.01</v>
      </c>
      <c r="K1011" s="601">
        <v>397966.12</v>
      </c>
      <c r="L1011" s="601">
        <v>331358.59000000003</v>
      </c>
    </row>
    <row r="1012" spans="1:12" hidden="1">
      <c r="A1012" s="601" t="s">
        <v>2308</v>
      </c>
      <c r="B1012" s="601" t="str">
        <f t="shared" si="15"/>
        <v xml:space="preserve">LVMH </v>
      </c>
      <c r="C1012" s="601" t="str">
        <f>MID(Table3[[#This Row],[Statement Code]],FIND("- ",Table3[[#This Row],[Statement Code]])+2,100)</f>
        <v>EARNINGS PER SHR</v>
      </c>
      <c r="D1012" s="602" t="s">
        <v>2309</v>
      </c>
      <c r="E1012" s="601" t="s">
        <v>2288</v>
      </c>
      <c r="F1012" s="601" t="s">
        <v>551</v>
      </c>
      <c r="G1012" s="601">
        <v>14.54</v>
      </c>
      <c r="H1012" s="601">
        <v>10.43</v>
      </c>
      <c r="I1012" s="601">
        <v>22.06</v>
      </c>
      <c r="J1012" s="601">
        <v>26.48</v>
      </c>
      <c r="K1012" s="601">
        <v>34.17</v>
      </c>
      <c r="L1012" s="601">
        <v>31.07</v>
      </c>
    </row>
    <row r="1013" spans="1:12" hidden="1">
      <c r="A1013" s="601" t="s">
        <v>220</v>
      </c>
      <c r="B1013" s="601" t="e">
        <f t="shared" si="15"/>
        <v>#VALUE!</v>
      </c>
      <c r="C1013" s="601" t="e">
        <f>MID(Table3[[#This Row],[Statement Code]],FIND("- ",Table3[[#This Row],[Statement Code]])+2,100)</f>
        <v>#VALUE!</v>
      </c>
      <c r="D1013" s="602" t="s">
        <v>2310</v>
      </c>
      <c r="E1013" s="601" t="s">
        <v>2288</v>
      </c>
      <c r="F1013" s="601" t="s">
        <v>23</v>
      </c>
      <c r="G1013" s="601">
        <v>1.2164999999999999</v>
      </c>
      <c r="H1013" s="601">
        <v>0.89810000000000001</v>
      </c>
      <c r="I1013" s="601">
        <v>0.8881</v>
      </c>
      <c r="J1013" s="601">
        <v>0.91590000000000005</v>
      </c>
      <c r="K1013" s="601">
        <v>0.93420000000000003</v>
      </c>
      <c r="L1013" s="601">
        <v>0.95009999999999994</v>
      </c>
    </row>
    <row r="1014" spans="1:12" hidden="1">
      <c r="A1014" s="601" t="s">
        <v>220</v>
      </c>
      <c r="B1014" s="601" t="e">
        <f t="shared" si="15"/>
        <v>#VALUE!</v>
      </c>
      <c r="C1014" s="601" t="e">
        <f>MID(Table3[[#This Row],[Statement Code]],FIND("- ",Table3[[#This Row],[Statement Code]])+2,100)</f>
        <v>#VALUE!</v>
      </c>
      <c r="D1014" s="602" t="s">
        <v>2311</v>
      </c>
      <c r="E1014" s="601" t="s">
        <v>2288</v>
      </c>
      <c r="F1014" s="601" t="s">
        <v>23</v>
      </c>
      <c r="G1014" s="601">
        <v>0.22720000000000001</v>
      </c>
      <c r="H1014" s="601">
        <v>0.28610000000000002</v>
      </c>
      <c r="I1014" s="601">
        <v>0.27510000000000001</v>
      </c>
      <c r="J1014" s="601">
        <v>0.29310000000000003</v>
      </c>
      <c r="K1014" s="601">
        <v>0.30009999999999998</v>
      </c>
      <c r="L1014" s="601">
        <v>0.314</v>
      </c>
    </row>
    <row r="1015" spans="1:12" hidden="1">
      <c r="A1015" s="601" t="s">
        <v>2312</v>
      </c>
      <c r="B1015" s="601" t="str">
        <f t="shared" si="15"/>
        <v xml:space="preserve">LVMH </v>
      </c>
      <c r="C1015" s="601" t="str">
        <f>MID(Table3[[#This Row],[Statement Code]],FIND("- ",Table3[[#This Row],[Statement Code]])+2,100)</f>
        <v>ACCOUNTS PAYABLE</v>
      </c>
      <c r="D1015" s="602" t="s">
        <v>2313</v>
      </c>
      <c r="E1015" s="601" t="s">
        <v>2288</v>
      </c>
      <c r="F1015" s="601" t="s">
        <v>551</v>
      </c>
      <c r="G1015" s="601">
        <v>6429775</v>
      </c>
      <c r="H1015" s="601">
        <v>6045976</v>
      </c>
      <c r="I1015" s="601">
        <v>8316972</v>
      </c>
      <c r="J1015" s="601">
        <v>8814514</v>
      </c>
      <c r="K1015" s="601">
        <v>9660615</v>
      </c>
      <c r="L1015" s="601" t="s">
        <v>23</v>
      </c>
    </row>
    <row r="1016" spans="1:12" hidden="1">
      <c r="A1016" s="601" t="s">
        <v>2314</v>
      </c>
      <c r="B1016" s="601" t="str">
        <f t="shared" si="15"/>
        <v xml:space="preserve">LVMH </v>
      </c>
      <c r="C1016" s="601" t="str">
        <f>MID(Table3[[#This Row],[Statement Code]],FIND("- ",Table3[[#This Row],[Statement Code]])+2,100)</f>
        <v>AMORT &amp; IMPAIR OF GOODWILL</v>
      </c>
      <c r="D1016" s="602" t="s">
        <v>2315</v>
      </c>
      <c r="E1016" s="601" t="s">
        <v>2288</v>
      </c>
      <c r="F1016" s="601" t="s">
        <v>551</v>
      </c>
      <c r="G1016" s="601">
        <v>24330</v>
      </c>
      <c r="H1016" s="601">
        <v>211099</v>
      </c>
      <c r="I1016" s="601">
        <v>91550</v>
      </c>
      <c r="J1016" s="601">
        <v>27081</v>
      </c>
      <c r="K1016" s="601">
        <v>0</v>
      </c>
      <c r="L1016" s="601" t="s">
        <v>23</v>
      </c>
    </row>
    <row r="1017" spans="1:12" hidden="1">
      <c r="A1017" s="601" t="s">
        <v>2316</v>
      </c>
      <c r="B1017" s="601" t="str">
        <f t="shared" si="15"/>
        <v xml:space="preserve">LVMH </v>
      </c>
      <c r="C1017" s="601" t="str">
        <f>MID(Table3[[#This Row],[Statement Code]],FIND("- ",Table3[[#This Row],[Statement Code]])+2,100)</f>
        <v>AMORTIZATION OF DEFERRED CHARG</v>
      </c>
      <c r="D1017" s="602" t="s">
        <v>2317</v>
      </c>
      <c r="E1017" s="601" t="s">
        <v>2288</v>
      </c>
      <c r="F1017" s="601" t="s">
        <v>551</v>
      </c>
      <c r="G1017" s="601">
        <v>0</v>
      </c>
      <c r="H1017" s="601">
        <v>0</v>
      </c>
      <c r="I1017" s="601">
        <v>0</v>
      </c>
      <c r="J1017" s="601">
        <v>0</v>
      </c>
      <c r="K1017" s="601">
        <v>0</v>
      </c>
      <c r="L1017" s="601" t="s">
        <v>23</v>
      </c>
    </row>
    <row r="1018" spans="1:12" hidden="1">
      <c r="A1018" s="601" t="s">
        <v>2318</v>
      </c>
      <c r="B1018" s="601" t="str">
        <f t="shared" si="15"/>
        <v xml:space="preserve">LVMH </v>
      </c>
      <c r="C1018" s="601" t="str">
        <f>MID(Table3[[#This Row],[Statement Code]],FIND("- ",Table3[[#This Row],[Statement Code]])+2,100)</f>
        <v>AMORTIZATION OF INTANGIBLES</v>
      </c>
      <c r="D1018" s="602" t="s">
        <v>2319</v>
      </c>
      <c r="E1018" s="601" t="s">
        <v>2288</v>
      </c>
      <c r="F1018" s="601" t="s">
        <v>551</v>
      </c>
      <c r="G1018" s="601">
        <v>525308</v>
      </c>
      <c r="H1018" s="601">
        <v>639227</v>
      </c>
      <c r="I1018" s="601">
        <v>620897</v>
      </c>
      <c r="J1018" s="601">
        <v>606825</v>
      </c>
      <c r="K1018" s="601">
        <v>827382</v>
      </c>
      <c r="L1018" s="601" t="s">
        <v>23</v>
      </c>
    </row>
    <row r="1019" spans="1:12" hidden="1">
      <c r="A1019" s="601" t="s">
        <v>2320</v>
      </c>
      <c r="B1019" s="601" t="str">
        <f t="shared" si="15"/>
        <v xml:space="preserve">LVMH </v>
      </c>
      <c r="C1019" s="601" t="str">
        <f>MID(Table3[[#This Row],[Statement Code]],FIND("- ",Table3[[#This Row],[Statement Code]])+2,100)</f>
        <v>BOOK VALUE-OUT SHARES-FISCAL</v>
      </c>
      <c r="D1019" s="602" t="s">
        <v>2321</v>
      </c>
      <c r="E1019" s="601" t="s">
        <v>2288</v>
      </c>
      <c r="F1019" s="601" t="s">
        <v>551</v>
      </c>
      <c r="G1019" s="601">
        <v>80.334999999999994</v>
      </c>
      <c r="H1019" s="601">
        <v>88.051000000000002</v>
      </c>
      <c r="I1019" s="601">
        <v>109.907</v>
      </c>
      <c r="J1019" s="601">
        <v>110.31699999999999</v>
      </c>
      <c r="K1019" s="601">
        <v>130.40899999999999</v>
      </c>
      <c r="L1019" s="601" t="s">
        <v>23</v>
      </c>
    </row>
    <row r="1020" spans="1:12" hidden="1">
      <c r="A1020" s="601" t="s">
        <v>2322</v>
      </c>
      <c r="B1020" s="601" t="str">
        <f t="shared" si="15"/>
        <v xml:space="preserve">LVMH </v>
      </c>
      <c r="C1020" s="601" t="str">
        <f>MID(Table3[[#This Row],[Statement Code]],FIND("- ",Table3[[#This Row],[Statement Code]])+2,100)</f>
        <v>BOOK VALUE PER SHARE</v>
      </c>
      <c r="D1020" s="602" t="s">
        <v>2323</v>
      </c>
      <c r="E1020" s="601" t="s">
        <v>2288</v>
      </c>
      <c r="F1020" s="601" t="s">
        <v>551</v>
      </c>
      <c r="G1020" s="601">
        <v>80.334999999999994</v>
      </c>
      <c r="H1020" s="601">
        <v>88.051000000000002</v>
      </c>
      <c r="I1020" s="601">
        <v>109.907</v>
      </c>
      <c r="J1020" s="601">
        <v>110.31699999999999</v>
      </c>
      <c r="K1020" s="601">
        <v>130.40899999999999</v>
      </c>
      <c r="L1020" s="601" t="s">
        <v>23</v>
      </c>
    </row>
    <row r="1021" spans="1:12">
      <c r="A1021" s="601" t="s">
        <v>2324</v>
      </c>
      <c r="B1021" s="601" t="str">
        <f t="shared" si="15"/>
        <v xml:space="preserve">LVMH </v>
      </c>
      <c r="C1021" s="601" t="str">
        <f>MID(Table3[[#This Row],[Statement Code]],FIND("- ",Table3[[#This Row],[Statement Code]])+2,100)</f>
        <v>CAPITAL EXPENDITURES</v>
      </c>
      <c r="D1021" s="602" t="s">
        <v>2325</v>
      </c>
      <c r="E1021" s="601" t="s">
        <v>2288</v>
      </c>
      <c r="F1021" s="601" t="s">
        <v>551</v>
      </c>
      <c r="G1021" s="601">
        <v>3162910</v>
      </c>
      <c r="H1021" s="601">
        <v>2352926</v>
      </c>
      <c r="I1021" s="601">
        <v>3126787</v>
      </c>
      <c r="J1021" s="601">
        <v>4410266</v>
      </c>
      <c r="K1021" s="601">
        <v>7267080</v>
      </c>
      <c r="L1021" s="601" t="s">
        <v>23</v>
      </c>
    </row>
    <row r="1022" spans="1:12" hidden="1">
      <c r="A1022" s="601" t="s">
        <v>2326</v>
      </c>
      <c r="B1022" s="601" t="str">
        <f t="shared" si="15"/>
        <v xml:space="preserve">LVMH </v>
      </c>
      <c r="C1022" s="601" t="str">
        <f>MID(Table3[[#This Row],[Statement Code]],FIND("- ",Table3[[#This Row],[Statement Code]])+2,100)</f>
        <v>CASH</v>
      </c>
      <c r="D1022" s="602" t="s">
        <v>2327</v>
      </c>
      <c r="E1022" s="601" t="s">
        <v>2288</v>
      </c>
      <c r="F1022" s="601" t="s">
        <v>551</v>
      </c>
      <c r="G1022" s="601">
        <v>6273842</v>
      </c>
      <c r="H1022" s="601">
        <v>23675133</v>
      </c>
      <c r="I1022" s="601">
        <v>9414399</v>
      </c>
      <c r="J1022" s="601">
        <v>7322025</v>
      </c>
      <c r="K1022" s="601">
        <v>8299439</v>
      </c>
      <c r="L1022" s="601" t="s">
        <v>23</v>
      </c>
    </row>
    <row r="1023" spans="1:12" hidden="1">
      <c r="A1023" s="601" t="s">
        <v>2328</v>
      </c>
      <c r="B1023" s="601" t="str">
        <f t="shared" si="15"/>
        <v xml:space="preserve">LVMH </v>
      </c>
      <c r="C1023" s="601" t="str">
        <f>MID(Table3[[#This Row],[Statement Code]],FIND("- ",Table3[[#This Row],[Statement Code]])+2,100)</f>
        <v>CASH - GENERIC</v>
      </c>
      <c r="D1023" s="602" t="s">
        <v>2329</v>
      </c>
      <c r="E1023" s="601" t="s">
        <v>2288</v>
      </c>
      <c r="F1023" s="601" t="s">
        <v>551</v>
      </c>
      <c r="G1023" s="601">
        <v>7283540</v>
      </c>
      <c r="H1023" s="601">
        <v>25714968</v>
      </c>
      <c r="I1023" s="601">
        <v>12703159</v>
      </c>
      <c r="J1023" s="601">
        <v>11348136</v>
      </c>
      <c r="K1023" s="601">
        <v>12605027</v>
      </c>
      <c r="L1023" s="601" t="s">
        <v>23</v>
      </c>
    </row>
    <row r="1024" spans="1:12">
      <c r="A1024" s="601" t="s">
        <v>2330</v>
      </c>
      <c r="B1024" s="601" t="str">
        <f t="shared" si="15"/>
        <v xml:space="preserve">LVMH </v>
      </c>
      <c r="C1024" s="601" t="str">
        <f>MID(Table3[[#This Row],[Statement Code]],FIND("- ",Table3[[#This Row],[Statement Code]])+2,100)</f>
        <v>CASH &amp; SHORT TERM INVESTMENTS</v>
      </c>
      <c r="D1024" s="602" t="s">
        <v>2331</v>
      </c>
      <c r="E1024" s="601" t="s">
        <v>2288</v>
      </c>
      <c r="F1024" s="601" t="s">
        <v>551</v>
      </c>
      <c r="G1024" s="601">
        <v>7283540</v>
      </c>
      <c r="H1024" s="601">
        <v>25714968</v>
      </c>
      <c r="I1024" s="601">
        <v>12703159</v>
      </c>
      <c r="J1024" s="601">
        <v>11348136</v>
      </c>
      <c r="K1024" s="601">
        <v>12605027</v>
      </c>
      <c r="L1024" s="601" t="s">
        <v>23</v>
      </c>
    </row>
    <row r="1025" spans="1:12" hidden="1">
      <c r="A1025" s="601" t="s">
        <v>2332</v>
      </c>
      <c r="B1025" s="601" t="str">
        <f t="shared" si="15"/>
        <v xml:space="preserve">LVMH </v>
      </c>
      <c r="C1025" s="601" t="str">
        <f>MID(Table3[[#This Row],[Statement Code]],FIND("- ",Table3[[#This Row],[Statement Code]])+2,100)</f>
        <v>CASH DIVIDENDS PAID - TOTAL</v>
      </c>
      <c r="D1025" s="602" t="s">
        <v>2333</v>
      </c>
      <c r="E1025" s="601" t="s">
        <v>2288</v>
      </c>
      <c r="F1025" s="601" t="s">
        <v>551</v>
      </c>
      <c r="G1025" s="601">
        <v>3593110</v>
      </c>
      <c r="H1025" s="601">
        <v>2886604</v>
      </c>
      <c r="I1025" s="601">
        <v>4883844</v>
      </c>
      <c r="J1025" s="601">
        <v>6372168</v>
      </c>
      <c r="K1025" s="601">
        <v>7074914</v>
      </c>
      <c r="L1025" s="601" t="s">
        <v>23</v>
      </c>
    </row>
    <row r="1026" spans="1:12" hidden="1">
      <c r="A1026" s="601" t="s">
        <v>2334</v>
      </c>
      <c r="B1026" s="601" t="str">
        <f t="shared" si="15"/>
        <v xml:space="preserve">LVMH </v>
      </c>
      <c r="C1026" s="601" t="str">
        <f>MID(Table3[[#This Row],[Statement Code]],FIND("- ",Table3[[#This Row],[Statement Code]])+2,100)</f>
        <v>CASH FLOW PER SHARE</v>
      </c>
      <c r="D1026" s="602" t="s">
        <v>2335</v>
      </c>
      <c r="E1026" s="601" t="s">
        <v>2288</v>
      </c>
      <c r="F1026" s="601" t="s">
        <v>551</v>
      </c>
      <c r="G1026" s="601">
        <v>28.152000000000001</v>
      </c>
      <c r="H1026" s="601">
        <v>26.55</v>
      </c>
      <c r="I1026" s="601">
        <v>42.49</v>
      </c>
      <c r="J1026" s="601">
        <v>41.662999999999997</v>
      </c>
      <c r="K1026" s="601">
        <v>49.058999999999997</v>
      </c>
      <c r="L1026" s="601" t="s">
        <v>23</v>
      </c>
    </row>
    <row r="1027" spans="1:12" hidden="1">
      <c r="A1027" s="601" t="s">
        <v>2336</v>
      </c>
      <c r="B1027" s="601" t="str">
        <f t="shared" ref="B1027:B1090" si="16">LEFT(A1027,FIND(" ",A1027))</f>
        <v xml:space="preserve">LVMH </v>
      </c>
      <c r="C1027" s="601" t="str">
        <f>MID(Table3[[#This Row],[Statement Code]],FIND("- ",Table3[[#This Row],[Statement Code]])+2,100)</f>
        <v>CASH FLOW PER SHARE - FIS YR</v>
      </c>
      <c r="D1027" s="602" t="s">
        <v>2337</v>
      </c>
      <c r="E1027" s="601" t="s">
        <v>2288</v>
      </c>
      <c r="F1027" s="601" t="s">
        <v>551</v>
      </c>
      <c r="G1027" s="601">
        <v>28.152000000000001</v>
      </c>
      <c r="H1027" s="601">
        <v>26.55</v>
      </c>
      <c r="I1027" s="601">
        <v>42.49</v>
      </c>
      <c r="J1027" s="601">
        <v>41.662999999999997</v>
      </c>
      <c r="K1027" s="601">
        <v>49.058999999999997</v>
      </c>
      <c r="L1027" s="601" t="s">
        <v>23</v>
      </c>
    </row>
    <row r="1028" spans="1:12" hidden="1">
      <c r="A1028" s="601" t="s">
        <v>2338</v>
      </c>
      <c r="B1028" s="601" t="str">
        <f t="shared" si="16"/>
        <v xml:space="preserve">LVMH </v>
      </c>
      <c r="C1028" s="601" t="str">
        <f>MID(Table3[[#This Row],[Statement Code]],FIND("- ",Table3[[#This Row],[Statement Code]])+2,100)</f>
        <v>COMMON DIVIDENDS (CASH)</v>
      </c>
      <c r="D1028" s="602" t="s">
        <v>2339</v>
      </c>
      <c r="E1028" s="601" t="s">
        <v>2288</v>
      </c>
      <c r="F1028" s="601" t="s">
        <v>551</v>
      </c>
      <c r="G1028" s="601">
        <v>3593110</v>
      </c>
      <c r="H1028" s="601">
        <v>2886604</v>
      </c>
      <c r="I1028" s="601">
        <v>4883844</v>
      </c>
      <c r="J1028" s="601">
        <v>6372168</v>
      </c>
      <c r="K1028" s="601">
        <v>7074914</v>
      </c>
      <c r="L1028" s="601" t="s">
        <v>23</v>
      </c>
    </row>
    <row r="1029" spans="1:12" hidden="1">
      <c r="A1029" s="601" t="s">
        <v>2340</v>
      </c>
      <c r="B1029" s="601" t="str">
        <f t="shared" si="16"/>
        <v xml:space="preserve">LVMH </v>
      </c>
      <c r="C1029" s="601" t="str">
        <f>MID(Table3[[#This Row],[Statement Code]],FIND("- ",Table3[[#This Row],[Statement Code]])+2,100)</f>
        <v>COMMON SHAREHOLDERS' EQUITY</v>
      </c>
      <c r="D1029" s="602" t="s">
        <v>2341</v>
      </c>
      <c r="E1029" s="601" t="s">
        <v>2288</v>
      </c>
      <c r="F1029" s="601" t="s">
        <v>551</v>
      </c>
      <c r="G1029" s="601">
        <v>40460915</v>
      </c>
      <c r="H1029" s="601">
        <v>44368786</v>
      </c>
      <c r="I1029" s="601">
        <v>55304459</v>
      </c>
      <c r="J1029" s="601">
        <v>55277276</v>
      </c>
      <c r="K1029" s="601">
        <v>65141095</v>
      </c>
      <c r="L1029" s="601" t="s">
        <v>23</v>
      </c>
    </row>
    <row r="1030" spans="1:12">
      <c r="A1030" s="601" t="s">
        <v>2342</v>
      </c>
      <c r="B1030" s="601" t="str">
        <f t="shared" si="16"/>
        <v xml:space="preserve">LVMH </v>
      </c>
      <c r="C1030" s="601" t="str">
        <f>MID(Table3[[#This Row],[Statement Code]],FIND("- ",Table3[[#This Row],[Statement Code]])+2,100)</f>
        <v>COMMON STOCK</v>
      </c>
      <c r="D1030" s="602" t="s">
        <v>2343</v>
      </c>
      <c r="E1030" s="601" t="s">
        <v>2288</v>
      </c>
      <c r="F1030" s="601" t="s">
        <v>551</v>
      </c>
      <c r="G1030" s="601">
        <v>168099</v>
      </c>
      <c r="H1030" s="601">
        <v>180264</v>
      </c>
      <c r="I1030" s="601">
        <v>178405</v>
      </c>
      <c r="J1030" s="601">
        <v>151456</v>
      </c>
      <c r="K1030" s="601">
        <v>161206</v>
      </c>
      <c r="L1030" s="601" t="s">
        <v>23</v>
      </c>
    </row>
    <row r="1031" spans="1:12" hidden="1">
      <c r="A1031" s="601" t="s">
        <v>2344</v>
      </c>
      <c r="B1031" s="601" t="str">
        <f t="shared" si="16"/>
        <v xml:space="preserve">LVMH </v>
      </c>
      <c r="C1031" s="601" t="str">
        <f>MID(Table3[[#This Row],[Statement Code]],FIND("- ",Table3[[#This Row],[Statement Code]])+2,100)</f>
        <v>COST OF GOODS SOLD (EXCL DEP)</v>
      </c>
      <c r="D1031" s="602" t="s">
        <v>2345</v>
      </c>
      <c r="E1031" s="601" t="s">
        <v>2288</v>
      </c>
      <c r="F1031" s="601" t="s">
        <v>551</v>
      </c>
      <c r="G1031" s="601">
        <v>15085752</v>
      </c>
      <c r="H1031" s="601">
        <v>13178284</v>
      </c>
      <c r="I1031" s="601">
        <v>17955551</v>
      </c>
      <c r="J1031" s="601">
        <v>19381300</v>
      </c>
      <c r="K1031" s="601">
        <v>22260304</v>
      </c>
      <c r="L1031" s="601" t="s">
        <v>23</v>
      </c>
    </row>
    <row r="1032" spans="1:12">
      <c r="A1032" s="601" t="s">
        <v>2346</v>
      </c>
      <c r="B1032" s="601" t="str">
        <f t="shared" si="16"/>
        <v xml:space="preserve">LVMH </v>
      </c>
      <c r="C1032" s="601" t="str">
        <f>MID(Table3[[#This Row],[Statement Code]],FIND("- ",Table3[[#This Row],[Statement Code]])+2,100)</f>
        <v>CURRENT ASSETS - TOTAL</v>
      </c>
      <c r="D1032" s="602" t="s">
        <v>2347</v>
      </c>
      <c r="E1032" s="601" t="s">
        <v>2288</v>
      </c>
      <c r="F1032" s="601" t="s">
        <v>551</v>
      </c>
      <c r="G1032" s="601">
        <v>29317740</v>
      </c>
      <c r="H1032" s="601">
        <v>47406006</v>
      </c>
      <c r="I1032" s="601">
        <v>40259731</v>
      </c>
      <c r="J1032" s="601">
        <v>39859900</v>
      </c>
      <c r="K1032" s="601">
        <v>46664328</v>
      </c>
      <c r="L1032" s="601" t="s">
        <v>23</v>
      </c>
    </row>
    <row r="1033" spans="1:12">
      <c r="A1033" s="601" t="s">
        <v>2348</v>
      </c>
      <c r="B1033" s="601" t="str">
        <f t="shared" si="16"/>
        <v xml:space="preserve">LVMH </v>
      </c>
      <c r="C1033" s="601" t="str">
        <f>MID(Table3[[#This Row],[Statement Code]],FIND("- ",Table3[[#This Row],[Statement Code]])+2,100)</f>
        <v>CURRENT LIABILITIES-TOTAL</v>
      </c>
      <c r="D1033" s="602" t="s">
        <v>2349</v>
      </c>
      <c r="E1033" s="601" t="s">
        <v>2288</v>
      </c>
      <c r="F1033" s="601" t="s">
        <v>551</v>
      </c>
      <c r="G1033" s="601">
        <v>25019058</v>
      </c>
      <c r="H1033" s="601">
        <v>30025899</v>
      </c>
      <c r="I1033" s="601">
        <v>32851217</v>
      </c>
      <c r="J1033" s="601">
        <v>31638169</v>
      </c>
      <c r="K1033" s="601">
        <v>35385247</v>
      </c>
      <c r="L1033" s="601" t="s">
        <v>23</v>
      </c>
    </row>
    <row r="1034" spans="1:12" hidden="1">
      <c r="A1034" s="601" t="s">
        <v>2350</v>
      </c>
      <c r="B1034" s="601" t="str">
        <f t="shared" si="16"/>
        <v xml:space="preserve">LVMH </v>
      </c>
      <c r="C1034" s="601" t="str">
        <f>MID(Table3[[#This Row],[Statement Code]],FIND("- ",Table3[[#This Row],[Statement Code]])+2,100)</f>
        <v>DEFERRED TAXES</v>
      </c>
      <c r="D1034" s="602" t="s">
        <v>2351</v>
      </c>
      <c r="E1034" s="601" t="s">
        <v>2288</v>
      </c>
      <c r="F1034" s="601" t="s">
        <v>551</v>
      </c>
      <c r="G1034" s="601">
        <v>3565462</v>
      </c>
      <c r="H1034" s="601">
        <v>3742860</v>
      </c>
      <c r="I1034" s="601">
        <v>4164355</v>
      </c>
      <c r="J1034" s="601">
        <v>3300929</v>
      </c>
      <c r="K1034" s="601">
        <v>3224120</v>
      </c>
      <c r="L1034" s="601" t="s">
        <v>23</v>
      </c>
    </row>
    <row r="1035" spans="1:12" hidden="1">
      <c r="A1035" s="601" t="s">
        <v>2352</v>
      </c>
      <c r="B1035" s="601" t="str">
        <f t="shared" si="16"/>
        <v xml:space="preserve">LVMH </v>
      </c>
      <c r="C1035" s="601" t="str">
        <f>MID(Table3[[#This Row],[Statement Code]],FIND("- ",Table3[[#This Row],[Statement Code]])+2,100)</f>
        <v>DEPRECIATION AND DEPLETION</v>
      </c>
      <c r="D1035" s="602" t="s">
        <v>2353</v>
      </c>
      <c r="E1035" s="601" t="s">
        <v>2288</v>
      </c>
      <c r="F1035" s="601" t="s">
        <v>551</v>
      </c>
      <c r="G1035" s="601">
        <v>5649001</v>
      </c>
      <c r="H1035" s="601">
        <v>7175001</v>
      </c>
      <c r="I1035" s="601">
        <v>6842781</v>
      </c>
      <c r="J1035" s="601">
        <v>6244785</v>
      </c>
      <c r="K1035" s="601">
        <v>7662088</v>
      </c>
      <c r="L1035" s="601" t="s">
        <v>23</v>
      </c>
    </row>
    <row r="1036" spans="1:12">
      <c r="A1036" s="601" t="s">
        <v>2354</v>
      </c>
      <c r="B1036" s="601" t="str">
        <f t="shared" si="16"/>
        <v xml:space="preserve">LVMH </v>
      </c>
      <c r="C1036" s="601" t="str">
        <f>MID(Table3[[#This Row],[Statement Code]],FIND("- ",Table3[[#This Row],[Statement Code]])+2,100)</f>
        <v>DEPRECIATION/DEPLETION/AMORT</v>
      </c>
      <c r="D1036" s="602" t="s">
        <v>2355</v>
      </c>
      <c r="E1036" s="601" t="s">
        <v>2288</v>
      </c>
      <c r="F1036" s="601" t="s">
        <v>551</v>
      </c>
      <c r="G1036" s="601">
        <v>4956700</v>
      </c>
      <c r="H1036" s="601">
        <v>5643939</v>
      </c>
      <c r="I1036" s="601">
        <v>5935496</v>
      </c>
      <c r="J1036" s="601">
        <v>5627929</v>
      </c>
      <c r="K1036" s="601">
        <v>6367102</v>
      </c>
      <c r="L1036" s="601" t="s">
        <v>23</v>
      </c>
    </row>
    <row r="1037" spans="1:12" hidden="1">
      <c r="A1037" s="601" t="s">
        <v>2356</v>
      </c>
      <c r="B1037" s="601" t="str">
        <f t="shared" si="16"/>
        <v xml:space="preserve">LVMH </v>
      </c>
      <c r="C1037" s="601" t="str">
        <f>MID(Table3[[#This Row],[Statement Code]],FIND("- ",Table3[[#This Row],[Statement Code]])+2,100)</f>
        <v>DIVIDENDS PER SHARE</v>
      </c>
      <c r="D1037" s="602" t="s">
        <v>2357</v>
      </c>
      <c r="E1037" s="601" t="s">
        <v>2288</v>
      </c>
      <c r="F1037" s="601" t="s">
        <v>551</v>
      </c>
      <c r="G1037" s="601">
        <v>5.3079999999999998</v>
      </c>
      <c r="H1037" s="601">
        <v>7.1159999999999997</v>
      </c>
      <c r="I1037" s="601">
        <v>11.737</v>
      </c>
      <c r="J1037" s="601">
        <v>12.036</v>
      </c>
      <c r="K1037" s="601">
        <v>13.879</v>
      </c>
      <c r="L1037" s="601" t="s">
        <v>23</v>
      </c>
    </row>
    <row r="1038" spans="1:12" hidden="1">
      <c r="A1038" s="601" t="s">
        <v>2358</v>
      </c>
      <c r="B1038" s="601" t="str">
        <f t="shared" si="16"/>
        <v xml:space="preserve">LVMH </v>
      </c>
      <c r="C1038" s="601" t="str">
        <f>MID(Table3[[#This Row],[Statement Code]],FIND("- ",Table3[[#This Row],[Statement Code]])+2,100)</f>
        <v>DIVIDENDS PER SHARE - FISCAL</v>
      </c>
      <c r="D1038" s="602" t="s">
        <v>2359</v>
      </c>
      <c r="E1038" s="601" t="s">
        <v>2288</v>
      </c>
      <c r="F1038" s="601" t="s">
        <v>551</v>
      </c>
      <c r="G1038" s="601">
        <v>5.3079999999999998</v>
      </c>
      <c r="H1038" s="601">
        <v>7.1159999999999997</v>
      </c>
      <c r="I1038" s="601">
        <v>11.737</v>
      </c>
      <c r="J1038" s="601">
        <v>12.036</v>
      </c>
      <c r="K1038" s="601">
        <v>13.879</v>
      </c>
      <c r="L1038" s="601" t="s">
        <v>23</v>
      </c>
    </row>
    <row r="1039" spans="1:12">
      <c r="A1039" s="601" t="s">
        <v>2360</v>
      </c>
      <c r="B1039" s="601" t="str">
        <f t="shared" si="16"/>
        <v xml:space="preserve">LVMH </v>
      </c>
      <c r="C1039" s="601" t="str">
        <f>MID(Table3[[#This Row],[Statement Code]],FIND("- ",Table3[[#This Row],[Statement Code]])+2,100)</f>
        <v>EARNINGS BEF INTEREST &amp; TAXES</v>
      </c>
      <c r="D1039" s="602" t="s">
        <v>2361</v>
      </c>
      <c r="E1039" s="601" t="s">
        <v>2288</v>
      </c>
      <c r="F1039" s="601" t="s">
        <v>551</v>
      </c>
      <c r="G1039" s="601">
        <v>12341983</v>
      </c>
      <c r="H1039" s="601">
        <v>9167399</v>
      </c>
      <c r="I1039" s="601">
        <v>20481394</v>
      </c>
      <c r="J1039" s="601">
        <v>20556836</v>
      </c>
      <c r="K1039" s="601">
        <v>24125383</v>
      </c>
      <c r="L1039" s="601" t="s">
        <v>23</v>
      </c>
    </row>
    <row r="1040" spans="1:12" hidden="1">
      <c r="A1040" s="601" t="s">
        <v>2362</v>
      </c>
      <c r="B1040" s="601" t="str">
        <f t="shared" si="16"/>
        <v xml:space="preserve">LVMH </v>
      </c>
      <c r="C1040" s="601" t="str">
        <f>MID(Table3[[#This Row],[Statement Code]],FIND("- ",Table3[[#This Row],[Statement Code]])+2,100)</f>
        <v>EBIT &amp; DEPRECIATION</v>
      </c>
      <c r="D1040" s="602" t="s">
        <v>2363</v>
      </c>
      <c r="E1040" s="601" t="s">
        <v>2288</v>
      </c>
      <c r="F1040" s="601" t="s">
        <v>551</v>
      </c>
      <c r="G1040" s="601">
        <v>17298683</v>
      </c>
      <c r="H1040" s="601">
        <v>14811338</v>
      </c>
      <c r="I1040" s="601">
        <v>26416890</v>
      </c>
      <c r="J1040" s="601">
        <v>26184765</v>
      </c>
      <c r="K1040" s="601">
        <v>30492485</v>
      </c>
      <c r="L1040" s="601" t="s">
        <v>23</v>
      </c>
    </row>
    <row r="1041" spans="1:12" hidden="1">
      <c r="A1041" s="601" t="s">
        <v>2364</v>
      </c>
      <c r="B1041" s="601" t="str">
        <f t="shared" si="16"/>
        <v xml:space="preserve">LVMH </v>
      </c>
      <c r="C1041" s="601" t="str">
        <f>MID(Table3[[#This Row],[Statement Code]],FIND("- ",Table3[[#This Row],[Statement Code]])+2,100)</f>
        <v>EARNINGS PER SHARE</v>
      </c>
      <c r="D1041" s="602" t="s">
        <v>2365</v>
      </c>
      <c r="E1041" s="601" t="s">
        <v>2288</v>
      </c>
      <c r="F1041" s="601" t="s">
        <v>551</v>
      </c>
      <c r="G1041" s="601">
        <v>15.76</v>
      </c>
      <c r="H1041" s="601">
        <v>11.071</v>
      </c>
      <c r="I1041" s="601">
        <v>28.05</v>
      </c>
      <c r="J1041" s="601">
        <v>28.134</v>
      </c>
      <c r="K1041" s="601">
        <v>32.396000000000001</v>
      </c>
      <c r="L1041" s="601" t="s">
        <v>23</v>
      </c>
    </row>
    <row r="1042" spans="1:12" hidden="1">
      <c r="A1042" s="601" t="s">
        <v>2366</v>
      </c>
      <c r="B1042" s="601" t="str">
        <f t="shared" si="16"/>
        <v xml:space="preserve">LVMH </v>
      </c>
      <c r="C1042" s="601" t="str">
        <f>MID(Table3[[#This Row],[Statement Code]],FIND("- ",Table3[[#This Row],[Statement Code]])+2,100)</f>
        <v>FISCAL EPS-FULLY DILUTED-YR</v>
      </c>
      <c r="D1042" s="602" t="s">
        <v>2367</v>
      </c>
      <c r="E1042" s="601" t="s">
        <v>2288</v>
      </c>
      <c r="F1042" s="601" t="s">
        <v>551</v>
      </c>
      <c r="G1042" s="601">
        <v>15.74</v>
      </c>
      <c r="H1042" s="601">
        <v>11.06</v>
      </c>
      <c r="I1042" s="601">
        <v>28.035</v>
      </c>
      <c r="J1042" s="601">
        <v>28.114000000000001</v>
      </c>
      <c r="K1042" s="601">
        <v>32.378999999999998</v>
      </c>
      <c r="L1042" s="601" t="s">
        <v>23</v>
      </c>
    </row>
    <row r="1043" spans="1:12" hidden="1">
      <c r="A1043" s="601" t="s">
        <v>2368</v>
      </c>
      <c r="B1043" s="601" t="str">
        <f t="shared" si="16"/>
        <v xml:space="preserve">LVMH </v>
      </c>
      <c r="C1043" s="601" t="str">
        <f>MID(Table3[[#This Row],[Statement Code]],FIND("- ",Table3[[#This Row],[Statement Code]])+2,100)</f>
        <v>ENTERPRISE VALUE</v>
      </c>
      <c r="D1043" s="602" t="s">
        <v>2369</v>
      </c>
      <c r="E1043" s="601" t="s">
        <v>2288</v>
      </c>
      <c r="F1043" s="601" t="s">
        <v>551</v>
      </c>
      <c r="G1043" s="601">
        <v>253299098</v>
      </c>
      <c r="H1043" s="601">
        <v>325728946</v>
      </c>
      <c r="I1043" s="601">
        <v>459205700</v>
      </c>
      <c r="J1043" s="601">
        <v>367052320</v>
      </c>
      <c r="K1043" s="601">
        <v>421489546</v>
      </c>
      <c r="L1043" s="601" t="s">
        <v>23</v>
      </c>
    </row>
    <row r="1044" spans="1:12">
      <c r="A1044" s="601" t="s">
        <v>2370</v>
      </c>
      <c r="B1044" s="601" t="str">
        <f t="shared" si="16"/>
        <v xml:space="preserve">LVMH </v>
      </c>
      <c r="C1044" s="601" t="str">
        <f>MID(Table3[[#This Row],[Statement Code]],FIND("- ",Table3[[#This Row],[Statement Code]])+2,100)</f>
        <v>GROSS INCOME</v>
      </c>
      <c r="D1044" s="602" t="s">
        <v>2371</v>
      </c>
      <c r="E1044" s="601" t="s">
        <v>2288</v>
      </c>
      <c r="F1044" s="601" t="s">
        <v>551</v>
      </c>
      <c r="G1044" s="601">
        <v>39311872</v>
      </c>
      <c r="H1044" s="601">
        <v>34131660</v>
      </c>
      <c r="I1044" s="601">
        <v>51479309</v>
      </c>
      <c r="J1044" s="601">
        <v>54413679</v>
      </c>
      <c r="K1044" s="601">
        <v>63348613</v>
      </c>
      <c r="L1044" s="601" t="s">
        <v>23</v>
      </c>
    </row>
    <row r="1045" spans="1:12" hidden="1">
      <c r="A1045" s="601" t="s">
        <v>2372</v>
      </c>
      <c r="B1045" s="601" t="str">
        <f t="shared" si="16"/>
        <v xml:space="preserve">LVMH </v>
      </c>
      <c r="C1045" s="601" t="str">
        <f>MID(Table3[[#This Row],[Statement Code]],FIND("- ",Table3[[#This Row],[Statement Code]])+2,100)</f>
        <v>IMPAIRMENT OF GOODWILL</v>
      </c>
      <c r="D1045" s="602" t="s">
        <v>2373</v>
      </c>
      <c r="E1045" s="601" t="s">
        <v>2288</v>
      </c>
      <c r="F1045" s="601" t="s">
        <v>551</v>
      </c>
      <c r="G1045" s="601">
        <v>24330</v>
      </c>
      <c r="H1045" s="601">
        <v>211099</v>
      </c>
      <c r="I1045" s="601">
        <v>91550</v>
      </c>
      <c r="J1045" s="601">
        <v>27081</v>
      </c>
      <c r="K1045" s="601">
        <v>0</v>
      </c>
      <c r="L1045" s="601" t="s">
        <v>23</v>
      </c>
    </row>
    <row r="1046" spans="1:12" hidden="1">
      <c r="A1046" s="601" t="s">
        <v>2374</v>
      </c>
      <c r="B1046" s="601" t="str">
        <f t="shared" si="16"/>
        <v xml:space="preserve">LVMH </v>
      </c>
      <c r="C1046" s="601" t="str">
        <f>MID(Table3[[#This Row],[Statement Code]],FIND("- ",Table3[[#This Row],[Statement Code]])+2,100)</f>
        <v>IMPAIRMENT- OTHER INTANGIBLES</v>
      </c>
      <c r="D1046" s="602" t="s">
        <v>2375</v>
      </c>
      <c r="E1046" s="601" t="s">
        <v>2288</v>
      </c>
      <c r="F1046" s="601" t="s">
        <v>551</v>
      </c>
      <c r="G1046" s="601">
        <v>46448</v>
      </c>
      <c r="H1046" s="601">
        <v>39136</v>
      </c>
      <c r="I1046" s="601">
        <v>0</v>
      </c>
      <c r="J1046" s="601">
        <v>16048</v>
      </c>
      <c r="K1046" s="601">
        <v>-2135</v>
      </c>
      <c r="L1046" s="601" t="s">
        <v>23</v>
      </c>
    </row>
    <row r="1047" spans="1:12">
      <c r="A1047" s="601" t="s">
        <v>2376</v>
      </c>
      <c r="B1047" s="601" t="str">
        <f t="shared" si="16"/>
        <v xml:space="preserve">LVMH </v>
      </c>
      <c r="C1047" s="601" t="str">
        <f>MID(Table3[[#This Row],[Statement Code]],FIND("- ",Table3[[#This Row],[Statement Code]])+2,100)</f>
        <v>INCOME TAXES</v>
      </c>
      <c r="D1047" s="602" t="s">
        <v>2377</v>
      </c>
      <c r="E1047" s="601" t="s">
        <v>2288</v>
      </c>
      <c r="F1047" s="601" t="s">
        <v>551</v>
      </c>
      <c r="G1047" s="601">
        <v>3242535</v>
      </c>
      <c r="H1047" s="601">
        <v>2856955</v>
      </c>
      <c r="I1047" s="601">
        <v>5293472</v>
      </c>
      <c r="J1047" s="601">
        <v>5378178</v>
      </c>
      <c r="K1047" s="601">
        <v>6056434</v>
      </c>
      <c r="L1047" s="601" t="s">
        <v>23</v>
      </c>
    </row>
    <row r="1048" spans="1:12" hidden="1">
      <c r="A1048" s="601" t="s">
        <v>2378</v>
      </c>
      <c r="B1048" s="601" t="str">
        <f t="shared" si="16"/>
        <v xml:space="preserve">LVMH </v>
      </c>
      <c r="C1048" s="601" t="str">
        <f>MID(Table3[[#This Row],[Statement Code]],FIND("- ",Table3[[#This Row],[Statement Code]])+2,100)</f>
        <v>INCREASE/DECREASE IN CASH/SHOR</v>
      </c>
      <c r="D1048" s="602" t="s">
        <v>2379</v>
      </c>
      <c r="E1048" s="601" t="s">
        <v>2288</v>
      </c>
      <c r="F1048" s="601" t="s">
        <v>551</v>
      </c>
      <c r="G1048" s="601">
        <v>1198809</v>
      </c>
      <c r="H1048" s="601">
        <v>16969768</v>
      </c>
      <c r="I1048" s="601">
        <v>-14071715</v>
      </c>
      <c r="J1048" s="601">
        <v>-719163</v>
      </c>
      <c r="K1048" s="601">
        <v>448387</v>
      </c>
      <c r="L1048" s="601" t="s">
        <v>23</v>
      </c>
    </row>
    <row r="1049" spans="1:12">
      <c r="A1049" s="601" t="s">
        <v>2380</v>
      </c>
      <c r="B1049" s="601" t="str">
        <f t="shared" si="16"/>
        <v xml:space="preserve">LVMH </v>
      </c>
      <c r="C1049" s="601" t="str">
        <f>MID(Table3[[#This Row],[Statement Code]],FIND("- ",Table3[[#This Row],[Statement Code]])+2,100)</f>
        <v>INTEREST EXPENSE ON DEBT</v>
      </c>
      <c r="D1049" s="602" t="s">
        <v>2381</v>
      </c>
      <c r="E1049" s="601" t="s">
        <v>2288</v>
      </c>
      <c r="F1049" s="601" t="s">
        <v>551</v>
      </c>
      <c r="G1049" s="601">
        <v>493237</v>
      </c>
      <c r="H1049" s="601">
        <v>434058</v>
      </c>
      <c r="I1049" s="601">
        <v>284040</v>
      </c>
      <c r="J1049" s="601">
        <v>383153</v>
      </c>
      <c r="K1049" s="601">
        <v>1038764</v>
      </c>
      <c r="L1049" s="601" t="s">
        <v>23</v>
      </c>
    </row>
    <row r="1050" spans="1:12" hidden="1">
      <c r="A1050" s="601" t="s">
        <v>2382</v>
      </c>
      <c r="B1050" s="601" t="str">
        <f t="shared" si="16"/>
        <v xml:space="preserve">LVMH </v>
      </c>
      <c r="C1050" s="601" t="str">
        <f>MID(Table3[[#This Row],[Statement Code]],FIND("- ",Table3[[#This Row],[Statement Code]])+2,100)</f>
        <v>TOTAL INVENTORIES</v>
      </c>
      <c r="D1050" s="602" t="s">
        <v>2383</v>
      </c>
      <c r="E1050" s="601" t="s">
        <v>2288</v>
      </c>
      <c r="F1050" s="601" t="s">
        <v>551</v>
      </c>
      <c r="G1050" s="601">
        <v>15169802</v>
      </c>
      <c r="H1050" s="601">
        <v>15436334</v>
      </c>
      <c r="I1050" s="601">
        <v>19423873</v>
      </c>
      <c r="J1050" s="601">
        <v>20380305</v>
      </c>
      <c r="K1050" s="601">
        <v>24503309</v>
      </c>
      <c r="L1050" s="601" t="s">
        <v>23</v>
      </c>
    </row>
    <row r="1051" spans="1:12">
      <c r="A1051" s="601" t="s">
        <v>2384</v>
      </c>
      <c r="B1051" s="601" t="str">
        <f t="shared" si="16"/>
        <v xml:space="preserve">LVMH </v>
      </c>
      <c r="C1051" s="601" t="str">
        <f>MID(Table3[[#This Row],[Statement Code]],FIND("- ",Table3[[#This Row],[Statement Code]])+2,100)</f>
        <v>LONG TERM DEBT</v>
      </c>
      <c r="D1051" s="602" t="s">
        <v>2385</v>
      </c>
      <c r="E1051" s="601" t="s">
        <v>2288</v>
      </c>
      <c r="F1051" s="601" t="s">
        <v>551</v>
      </c>
      <c r="G1051" s="601">
        <v>17112890</v>
      </c>
      <c r="H1051" s="601">
        <v>29328560</v>
      </c>
      <c r="I1051" s="601">
        <v>28230286</v>
      </c>
      <c r="J1051" s="601">
        <v>23225864</v>
      </c>
      <c r="K1051" s="601">
        <v>26729233</v>
      </c>
      <c r="L1051" s="601" t="s">
        <v>23</v>
      </c>
    </row>
    <row r="1052" spans="1:12" hidden="1">
      <c r="A1052" s="601" t="s">
        <v>2386</v>
      </c>
      <c r="B1052" s="601" t="str">
        <f t="shared" si="16"/>
        <v xml:space="preserve">LVMH </v>
      </c>
      <c r="C1052" s="601" t="str">
        <f>MID(Table3[[#This Row],[Statement Code]],FIND("- ",Table3[[#This Row],[Statement Code]])+2,100)</f>
        <v>MARKET CAPITALIZATION</v>
      </c>
      <c r="D1052" s="602" t="s">
        <v>2387</v>
      </c>
      <c r="E1052" s="601" t="s">
        <v>2288</v>
      </c>
      <c r="F1052" s="601" t="s">
        <v>551</v>
      </c>
      <c r="G1052" s="601">
        <v>230707518</v>
      </c>
      <c r="H1052" s="601">
        <v>305311619</v>
      </c>
      <c r="I1052" s="601">
        <v>429369766</v>
      </c>
      <c r="J1052" s="601">
        <v>341710090</v>
      </c>
      <c r="K1052" s="601">
        <v>391210579</v>
      </c>
      <c r="L1052" s="601" t="s">
        <v>23</v>
      </c>
    </row>
    <row r="1053" spans="1:12" hidden="1">
      <c r="A1053" s="601" t="s">
        <v>2388</v>
      </c>
      <c r="B1053" s="601" t="str">
        <f t="shared" si="16"/>
        <v xml:space="preserve">LVMH </v>
      </c>
      <c r="C1053" s="601" t="str">
        <f>MID(Table3[[#This Row],[Statement Code]],FIND("- ",Table3[[#This Row],[Statement Code]])+2,100)</f>
        <v>NET CASH FLOW - FINANCING</v>
      </c>
      <c r="D1053" s="602" t="s">
        <v>2389</v>
      </c>
      <c r="E1053" s="601" t="s">
        <v>2288</v>
      </c>
      <c r="F1053" s="601" t="s">
        <v>551</v>
      </c>
      <c r="G1053" s="601">
        <v>-5235390</v>
      </c>
      <c r="H1053" s="601">
        <v>8779593</v>
      </c>
      <c r="I1053" s="601">
        <v>-17788883</v>
      </c>
      <c r="J1053" s="601">
        <v>-12723272</v>
      </c>
      <c r="K1053" s="601">
        <v>-10032137</v>
      </c>
      <c r="L1053" s="601" t="s">
        <v>23</v>
      </c>
    </row>
    <row r="1054" spans="1:12" hidden="1">
      <c r="A1054" s="601" t="s">
        <v>2390</v>
      </c>
      <c r="B1054" s="601" t="str">
        <f t="shared" si="16"/>
        <v xml:space="preserve">LVMH </v>
      </c>
      <c r="C1054" s="601" t="str">
        <f>MID(Table3[[#This Row],[Statement Code]],FIND("- ",Table3[[#This Row],[Statement Code]])+2,100)</f>
        <v>NET CASH FLOW - INVESTING</v>
      </c>
      <c r="D1054" s="602" t="s">
        <v>2391</v>
      </c>
      <c r="E1054" s="601" t="s">
        <v>2288</v>
      </c>
      <c r="F1054" s="601" t="s">
        <v>551</v>
      </c>
      <c r="G1054" s="601">
        <v>6499448</v>
      </c>
      <c r="H1054" s="601">
        <v>3499740</v>
      </c>
      <c r="I1054" s="601">
        <v>18766591</v>
      </c>
      <c r="J1054" s="601">
        <v>5944882</v>
      </c>
      <c r="K1054" s="601">
        <v>8877005</v>
      </c>
      <c r="L1054" s="601" t="s">
        <v>23</v>
      </c>
    </row>
    <row r="1055" spans="1:12" hidden="1">
      <c r="A1055" s="601" t="s">
        <v>2392</v>
      </c>
      <c r="B1055" s="601" t="str">
        <f t="shared" si="16"/>
        <v xml:space="preserve">LVMH </v>
      </c>
      <c r="C1055" s="601" t="str">
        <f>MID(Table3[[#This Row],[Statement Code]],FIND("- ",Table3[[#This Row],[Statement Code]])+2,100)</f>
        <v>NET CASH FLOW-OPERATING ACTIVS</v>
      </c>
      <c r="D1055" s="602" t="s">
        <v>2393</v>
      </c>
      <c r="E1055" s="601" t="s">
        <v>2288</v>
      </c>
      <c r="F1055" s="601" t="s">
        <v>551</v>
      </c>
      <c r="G1055" s="601">
        <v>12890516</v>
      </c>
      <c r="H1055" s="601">
        <v>12937536</v>
      </c>
      <c r="I1055" s="601">
        <v>21899246</v>
      </c>
      <c r="J1055" s="601">
        <v>17893825</v>
      </c>
      <c r="K1055" s="601">
        <v>19648981</v>
      </c>
      <c r="L1055" s="601" t="s">
        <v>23</v>
      </c>
    </row>
    <row r="1056" spans="1:12" hidden="1">
      <c r="A1056" s="601" t="s">
        <v>2394</v>
      </c>
      <c r="B1056" s="601" t="str">
        <f t="shared" si="16"/>
        <v xml:space="preserve">LVMH </v>
      </c>
      <c r="C1056" s="601" t="str">
        <f>MID(Table3[[#This Row],[Statement Code]],FIND("- ",Table3[[#This Row],[Statement Code]])+2,100)</f>
        <v>NET DEBT</v>
      </c>
      <c r="D1056" s="602" t="s">
        <v>2395</v>
      </c>
      <c r="E1056" s="601" t="s">
        <v>2288</v>
      </c>
      <c r="F1056" s="601" t="s">
        <v>551</v>
      </c>
      <c r="G1056" s="601">
        <v>20624162</v>
      </c>
      <c r="H1056" s="601">
        <v>18736834</v>
      </c>
      <c r="I1056" s="601">
        <v>27734977</v>
      </c>
      <c r="J1056" s="601">
        <v>23844726</v>
      </c>
      <c r="K1056" s="601">
        <v>28481147</v>
      </c>
      <c r="L1056" s="601" t="s">
        <v>23</v>
      </c>
    </row>
    <row r="1057" spans="1:12">
      <c r="A1057" s="601" t="s">
        <v>2396</v>
      </c>
      <c r="B1057" s="601" t="str">
        <f t="shared" si="16"/>
        <v xml:space="preserve">LVMH </v>
      </c>
      <c r="C1057" s="601" t="str">
        <f>MID(Table3[[#This Row],[Statement Code]],FIND("- ",Table3[[#This Row],[Statement Code]])+2,100)</f>
        <v>NET INCOME - DILUTED</v>
      </c>
      <c r="D1057" s="602" t="s">
        <v>2397</v>
      </c>
      <c r="E1057" s="601" t="s">
        <v>2288</v>
      </c>
      <c r="F1057" s="601" t="s">
        <v>551</v>
      </c>
      <c r="G1057" s="601">
        <v>7930499</v>
      </c>
      <c r="H1057" s="601">
        <v>5576340</v>
      </c>
      <c r="I1057" s="601">
        <v>14126880</v>
      </c>
      <c r="J1057" s="601">
        <v>14126493</v>
      </c>
      <c r="K1057" s="601">
        <v>16199600</v>
      </c>
      <c r="L1057" s="601" t="s">
        <v>23</v>
      </c>
    </row>
    <row r="1058" spans="1:12">
      <c r="A1058" s="601" t="s">
        <v>2398</v>
      </c>
      <c r="B1058" s="601" t="str">
        <f t="shared" si="16"/>
        <v xml:space="preserve">LVMH </v>
      </c>
      <c r="C1058" s="601" t="str">
        <f>MID(Table3[[#This Row],[Statement Code]],FIND("- ",Table3[[#This Row],[Statement Code]])+2,100)</f>
        <v>NET SALES OR REVENUES</v>
      </c>
      <c r="D1058" s="602" t="s">
        <v>2399</v>
      </c>
      <c r="E1058" s="601" t="s">
        <v>2288</v>
      </c>
      <c r="F1058" s="601" t="s">
        <v>551</v>
      </c>
      <c r="G1058" s="601">
        <v>59354324</v>
      </c>
      <c r="H1058" s="601">
        <v>52953883</v>
      </c>
      <c r="I1058" s="601">
        <v>75370356</v>
      </c>
      <c r="J1058" s="601">
        <v>79422907</v>
      </c>
      <c r="K1058" s="601">
        <v>91976020</v>
      </c>
      <c r="L1058" s="601" t="s">
        <v>23</v>
      </c>
    </row>
    <row r="1059" spans="1:12" hidden="1">
      <c r="A1059" s="601" t="s">
        <v>2400</v>
      </c>
      <c r="B1059" s="601" t="str">
        <f t="shared" si="16"/>
        <v xml:space="preserve">LVMH </v>
      </c>
      <c r="C1059" s="601" t="str">
        <f>MID(Table3[[#This Row],[Statement Code]],FIND("- ",Table3[[#This Row],[Statement Code]])+2,100)</f>
        <v>NON-OPERATING INTEREST INCOME</v>
      </c>
      <c r="D1059" s="602" t="s">
        <v>2401</v>
      </c>
      <c r="E1059" s="601" t="s">
        <v>2288</v>
      </c>
      <c r="F1059" s="601" t="s">
        <v>551</v>
      </c>
      <c r="G1059" s="601">
        <v>55296</v>
      </c>
      <c r="H1059" s="601">
        <v>54554</v>
      </c>
      <c r="I1059" s="601">
        <v>51644</v>
      </c>
      <c r="J1059" s="601">
        <v>113341</v>
      </c>
      <c r="K1059" s="601">
        <v>226329</v>
      </c>
      <c r="L1059" s="601" t="s">
        <v>23</v>
      </c>
    </row>
    <row r="1060" spans="1:12" hidden="1">
      <c r="A1060" s="601" t="s">
        <v>2402</v>
      </c>
      <c r="B1060" s="601" t="str">
        <f t="shared" si="16"/>
        <v xml:space="preserve">LVMH </v>
      </c>
      <c r="C1060" s="601" t="str">
        <f>MID(Table3[[#This Row],[Statement Code]],FIND("- ",Table3[[#This Row],[Statement Code]])+2,100)</f>
        <v>OPERATING EXPENSES - TOTAL</v>
      </c>
      <c r="D1060" s="602" t="s">
        <v>2403</v>
      </c>
      <c r="E1060" s="601" t="s">
        <v>2288</v>
      </c>
      <c r="F1060" s="601" t="s">
        <v>551</v>
      </c>
      <c r="G1060" s="601">
        <v>46777887</v>
      </c>
      <c r="H1060" s="601">
        <v>42870930</v>
      </c>
      <c r="I1060" s="601">
        <v>55275116</v>
      </c>
      <c r="J1060" s="601">
        <v>58291343</v>
      </c>
      <c r="K1060" s="601">
        <v>67590145</v>
      </c>
      <c r="L1060" s="601" t="s">
        <v>23</v>
      </c>
    </row>
    <row r="1061" spans="1:12">
      <c r="A1061" s="601" t="s">
        <v>2404</v>
      </c>
      <c r="B1061" s="601" t="str">
        <f t="shared" si="16"/>
        <v xml:space="preserve">LVMH </v>
      </c>
      <c r="C1061" s="601" t="str">
        <f>MID(Table3[[#This Row],[Statement Code]],FIND("- ",Table3[[#This Row],[Statement Code]])+2,100)</f>
        <v>OPERATING INCOME</v>
      </c>
      <c r="D1061" s="602" t="s">
        <v>2405</v>
      </c>
      <c r="E1061" s="601" t="s">
        <v>2288</v>
      </c>
      <c r="F1061" s="601" t="s">
        <v>551</v>
      </c>
      <c r="G1061" s="601">
        <v>12576437</v>
      </c>
      <c r="H1061" s="601">
        <v>10082952</v>
      </c>
      <c r="I1061" s="601">
        <v>20095241</v>
      </c>
      <c r="J1061" s="601">
        <v>21131565</v>
      </c>
      <c r="K1061" s="601">
        <v>24385874</v>
      </c>
      <c r="L1061" s="601" t="s">
        <v>23</v>
      </c>
    </row>
    <row r="1062" spans="1:12" hidden="1">
      <c r="A1062" s="601" t="s">
        <v>2406</v>
      </c>
      <c r="B1062" s="601" t="str">
        <f t="shared" si="16"/>
        <v xml:space="preserve">LVMH </v>
      </c>
      <c r="C1062" s="601" t="str">
        <f>MID(Table3[[#This Row],[Statement Code]],FIND("- ",Table3[[#This Row],[Statement Code]])+2,100)</f>
        <v>PRETAX INCOME</v>
      </c>
      <c r="D1062" s="602" t="s">
        <v>2407</v>
      </c>
      <c r="E1062" s="601" t="s">
        <v>2288</v>
      </c>
      <c r="F1062" s="601" t="s">
        <v>551</v>
      </c>
      <c r="G1062" s="601">
        <v>11848747</v>
      </c>
      <c r="H1062" s="601">
        <v>8733341</v>
      </c>
      <c r="I1062" s="601">
        <v>20197354</v>
      </c>
      <c r="J1062" s="601">
        <v>20173683</v>
      </c>
      <c r="K1062" s="601">
        <v>23086618</v>
      </c>
      <c r="L1062" s="601" t="s">
        <v>23</v>
      </c>
    </row>
    <row r="1063" spans="1:12" hidden="1">
      <c r="A1063" s="601" t="s">
        <v>2408</v>
      </c>
      <c r="B1063" s="601" t="str">
        <f t="shared" si="16"/>
        <v xml:space="preserve">LVMH </v>
      </c>
      <c r="C1063" s="601" t="str">
        <f>MID(Table3[[#This Row],[Statement Code]],FIND("- ",Table3[[#This Row],[Statement Code]])+2,100)</f>
        <v>PROPERTY, PLANT &amp; EQUIP - NET</v>
      </c>
      <c r="D1063" s="602" t="s">
        <v>2409</v>
      </c>
      <c r="E1063" s="601" t="s">
        <v>2288</v>
      </c>
      <c r="F1063" s="601" t="s">
        <v>551</v>
      </c>
      <c r="G1063" s="601">
        <v>33466018</v>
      </c>
      <c r="H1063" s="601">
        <v>35714904</v>
      </c>
      <c r="I1063" s="601">
        <v>39049626</v>
      </c>
      <c r="J1063" s="601">
        <v>37064492</v>
      </c>
      <c r="K1063" s="601">
        <v>45233758</v>
      </c>
      <c r="L1063" s="601" t="s">
        <v>23</v>
      </c>
    </row>
    <row r="1064" spans="1:12" hidden="1">
      <c r="A1064" s="601" t="s">
        <v>2410</v>
      </c>
      <c r="B1064" s="601" t="str">
        <f t="shared" si="16"/>
        <v xml:space="preserve">LVMH </v>
      </c>
      <c r="C1064" s="601" t="str">
        <f>MID(Table3[[#This Row],[Statement Code]],FIND("- ",Table3[[#This Row],[Statement Code]])+2,100)</f>
        <v>RECEIVABLES(NET)</v>
      </c>
      <c r="D1064" s="602" t="s">
        <v>2411</v>
      </c>
      <c r="E1064" s="601" t="s">
        <v>2288</v>
      </c>
      <c r="F1064" s="601" t="s">
        <v>551</v>
      </c>
      <c r="G1064" s="601">
        <v>6082519</v>
      </c>
      <c r="H1064" s="601">
        <v>5547877</v>
      </c>
      <c r="I1064" s="601">
        <v>7173770</v>
      </c>
      <c r="J1064" s="601">
        <v>7131452</v>
      </c>
      <c r="K1064" s="601">
        <v>8480929</v>
      </c>
      <c r="L1064" s="601" t="s">
        <v>23</v>
      </c>
    </row>
    <row r="1065" spans="1:12" hidden="1">
      <c r="A1065" s="601" t="s">
        <v>2412</v>
      </c>
      <c r="B1065" s="601" t="str">
        <f t="shared" si="16"/>
        <v xml:space="preserve">LVMH </v>
      </c>
      <c r="C1065" s="601" t="str">
        <f>MID(Table3[[#This Row],[Statement Code]],FIND("- ",Table3[[#This Row],[Statement Code]])+2,100)</f>
        <v>RESEARCH &amp; DEVELOPMENT</v>
      </c>
      <c r="D1065" s="602" t="s">
        <v>2413</v>
      </c>
      <c r="E1065" s="601" t="s">
        <v>2288</v>
      </c>
      <c r="F1065" s="601" t="s">
        <v>551</v>
      </c>
      <c r="G1065" s="601">
        <v>154828</v>
      </c>
      <c r="H1065" s="601">
        <v>164847</v>
      </c>
      <c r="I1065" s="601">
        <v>172537</v>
      </c>
      <c r="J1065" s="601">
        <v>172519</v>
      </c>
      <c r="K1065" s="601" t="s">
        <v>23</v>
      </c>
      <c r="L1065" s="601" t="s">
        <v>23</v>
      </c>
    </row>
    <row r="1066" spans="1:12">
      <c r="A1066" s="601" t="s">
        <v>2414</v>
      </c>
      <c r="B1066" s="601" t="str">
        <f t="shared" si="16"/>
        <v xml:space="preserve">LVMH </v>
      </c>
      <c r="C1066" s="601" t="str">
        <f>MID(Table3[[#This Row],[Statement Code]],FIND("- ",Table3[[#This Row],[Statement Code]])+2,100)</f>
        <v>SELLING, GENERAL &amp; ADMINISTRAT</v>
      </c>
      <c r="D1066" s="602" t="s">
        <v>2415</v>
      </c>
      <c r="E1066" s="601" t="s">
        <v>2288</v>
      </c>
      <c r="F1066" s="601" t="s">
        <v>551</v>
      </c>
      <c r="G1066" s="601">
        <v>26620420</v>
      </c>
      <c r="H1066" s="601">
        <v>24048707</v>
      </c>
      <c r="I1066" s="601">
        <v>31364115</v>
      </c>
      <c r="J1066" s="601">
        <v>33278102</v>
      </c>
      <c r="K1066" s="601">
        <v>38947792</v>
      </c>
      <c r="L1066" s="601" t="s">
        <v>23</v>
      </c>
    </row>
    <row r="1067" spans="1:12" hidden="1">
      <c r="A1067" s="601" t="s">
        <v>2416</v>
      </c>
      <c r="B1067" s="601" t="str">
        <f t="shared" si="16"/>
        <v xml:space="preserve">LVMH </v>
      </c>
      <c r="C1067" s="601" t="str">
        <f>MID(Table3[[#This Row],[Statement Code]],FIND("- ",Table3[[#This Row],[Statement Code]])+2,100)</f>
        <v>SHORT TERM DEBT &amp; CURRENT PORT</v>
      </c>
      <c r="D1067" s="602" t="s">
        <v>2417</v>
      </c>
      <c r="E1067" s="601" t="s">
        <v>2288</v>
      </c>
      <c r="F1067" s="601" t="s">
        <v>551</v>
      </c>
      <c r="G1067" s="601">
        <v>10794812</v>
      </c>
      <c r="H1067" s="601">
        <v>15123243</v>
      </c>
      <c r="I1067" s="601">
        <v>12207850</v>
      </c>
      <c r="J1067" s="601">
        <v>11966997</v>
      </c>
      <c r="K1067" s="601">
        <v>14356941</v>
      </c>
      <c r="L1067" s="601" t="s">
        <v>23</v>
      </c>
    </row>
    <row r="1068" spans="1:12">
      <c r="A1068" s="601" t="s">
        <v>2418</v>
      </c>
      <c r="B1068" s="601" t="str">
        <f t="shared" si="16"/>
        <v xml:space="preserve">LVMH </v>
      </c>
      <c r="C1068" s="601" t="str">
        <f>MID(Table3[[#This Row],[Statement Code]],FIND("- ",Table3[[#This Row],[Statement Code]])+2,100)</f>
        <v>TOTAL ASSETS</v>
      </c>
      <c r="D1068" s="602" t="s">
        <v>2419</v>
      </c>
      <c r="E1068" s="601" t="s">
        <v>2288</v>
      </c>
      <c r="F1068" s="601" t="s">
        <v>551</v>
      </c>
      <c r="G1068" s="601">
        <v>104213452</v>
      </c>
      <c r="H1068" s="601">
        <v>126121109</v>
      </c>
      <c r="I1068" s="601">
        <v>143375627</v>
      </c>
      <c r="J1068" s="601">
        <v>131380197</v>
      </c>
      <c r="K1068" s="601">
        <v>149144358</v>
      </c>
      <c r="L1068" s="601" t="s">
        <v>23</v>
      </c>
    </row>
    <row r="1069" spans="1:12" hidden="1">
      <c r="A1069" s="601" t="s">
        <v>2420</v>
      </c>
      <c r="B1069" s="601" t="str">
        <f t="shared" si="16"/>
        <v xml:space="preserve">LVMH </v>
      </c>
      <c r="C1069" s="601" t="str">
        <f>MID(Table3[[#This Row],[Statement Code]],FIND("- ",Table3[[#This Row],[Statement Code]])+2,100)</f>
        <v>TOTAL CAPITAL</v>
      </c>
      <c r="D1069" s="602" t="s">
        <v>2421</v>
      </c>
      <c r="E1069" s="601" t="s">
        <v>2288</v>
      </c>
      <c r="F1069" s="601" t="s">
        <v>551</v>
      </c>
      <c r="G1069" s="601">
        <v>59541223</v>
      </c>
      <c r="H1069" s="601">
        <v>75377838</v>
      </c>
      <c r="I1069" s="601">
        <v>85635702</v>
      </c>
      <c r="J1069" s="601">
        <v>80000645</v>
      </c>
      <c r="K1069" s="601">
        <v>93668149</v>
      </c>
      <c r="L1069" s="601" t="s">
        <v>23</v>
      </c>
    </row>
    <row r="1070" spans="1:12">
      <c r="A1070" s="601" t="s">
        <v>2422</v>
      </c>
      <c r="B1070" s="601" t="str">
        <f t="shared" si="16"/>
        <v xml:space="preserve">LVMH </v>
      </c>
      <c r="C1070" s="601" t="str">
        <f>MID(Table3[[#This Row],[Statement Code]],FIND("- ",Table3[[#This Row],[Statement Code]])+2,100)</f>
        <v>TOTAL DEBT</v>
      </c>
      <c r="D1070" s="602" t="s">
        <v>2423</v>
      </c>
      <c r="E1070" s="601" t="s">
        <v>2288</v>
      </c>
      <c r="F1070" s="601" t="s">
        <v>551</v>
      </c>
      <c r="G1070" s="601">
        <v>27907702</v>
      </c>
      <c r="H1070" s="601">
        <v>44451803</v>
      </c>
      <c r="I1070" s="601">
        <v>40438136</v>
      </c>
      <c r="J1070" s="601">
        <v>35192862</v>
      </c>
      <c r="K1070" s="601">
        <v>41086174</v>
      </c>
      <c r="L1070" s="601" t="s">
        <v>23</v>
      </c>
    </row>
    <row r="1071" spans="1:12" hidden="1">
      <c r="A1071" s="601" t="s">
        <v>2424</v>
      </c>
      <c r="B1071" s="601" t="str">
        <f t="shared" si="16"/>
        <v xml:space="preserve">LVMH </v>
      </c>
      <c r="C1071" s="601" t="str">
        <f>MID(Table3[[#This Row],[Statement Code]],FIND("- ",Table3[[#This Row],[Statement Code]])+2,100)</f>
        <v>TOTAL INTANGIBLE OT ASSETS-NET</v>
      </c>
      <c r="D1071" s="602" t="s">
        <v>2425</v>
      </c>
      <c r="E1071" s="601" t="s">
        <v>2288</v>
      </c>
      <c r="F1071" s="601" t="s">
        <v>551</v>
      </c>
      <c r="G1071" s="601">
        <v>37167507</v>
      </c>
      <c r="H1071" s="601">
        <v>39571616</v>
      </c>
      <c r="I1071" s="601">
        <v>59580317</v>
      </c>
      <c r="J1071" s="601">
        <v>50649355</v>
      </c>
      <c r="K1071" s="601">
        <v>53309003</v>
      </c>
      <c r="L1071" s="601" t="s">
        <v>23</v>
      </c>
    </row>
    <row r="1072" spans="1:12">
      <c r="A1072" s="601" t="s">
        <v>2426</v>
      </c>
      <c r="B1072" s="601" t="str">
        <f t="shared" si="16"/>
        <v xml:space="preserve">LVMH </v>
      </c>
      <c r="C1072" s="601" t="str">
        <f>MID(Table3[[#This Row],[Statement Code]],FIND("- ",Table3[[#This Row],[Statement Code]])+2,100)</f>
        <v>TOTAL LIABILITIES</v>
      </c>
      <c r="D1072" s="602" t="s">
        <v>2427</v>
      </c>
      <c r="E1072" s="601" t="s">
        <v>2288</v>
      </c>
      <c r="F1072" s="601" t="s">
        <v>551</v>
      </c>
      <c r="G1072" s="601">
        <v>61785119</v>
      </c>
      <c r="H1072" s="601">
        <v>80071830</v>
      </c>
      <c r="I1072" s="601">
        <v>85970211</v>
      </c>
      <c r="J1072" s="601">
        <v>74605416</v>
      </c>
      <c r="K1072" s="601">
        <v>82205442</v>
      </c>
      <c r="L1072" s="601" t="s">
        <v>23</v>
      </c>
    </row>
    <row r="1073" spans="1:12" hidden="1">
      <c r="A1073" s="601" t="s">
        <v>2428</v>
      </c>
      <c r="B1073" s="601" t="str">
        <f t="shared" si="16"/>
        <v xml:space="preserve">LVMH </v>
      </c>
      <c r="C1073" s="601" t="str">
        <f>MID(Table3[[#This Row],[Statement Code]],FIND("- ",Table3[[#This Row],[Statement Code]])+2,100)</f>
        <v>TOTAL LIABILITIES &amp; SHAREHOLDE</v>
      </c>
      <c r="D1073" s="602" t="s">
        <v>2429</v>
      </c>
      <c r="E1073" s="601" t="s">
        <v>2288</v>
      </c>
      <c r="F1073" s="601" t="s">
        <v>551</v>
      </c>
      <c r="G1073" s="601">
        <v>104213452</v>
      </c>
      <c r="H1073" s="601">
        <v>126121109</v>
      </c>
      <c r="I1073" s="601">
        <v>143375627</v>
      </c>
      <c r="J1073" s="601">
        <v>131380197</v>
      </c>
      <c r="K1073" s="601">
        <v>149144358</v>
      </c>
      <c r="L1073" s="601" t="s">
        <v>23</v>
      </c>
    </row>
    <row r="1074" spans="1:12" hidden="1">
      <c r="A1074" s="601" t="s">
        <v>2430</v>
      </c>
      <c r="B1074" s="601" t="str">
        <f t="shared" si="16"/>
        <v xml:space="preserve">LVMH </v>
      </c>
      <c r="C1074" s="601" t="str">
        <f>MID(Table3[[#This Row],[Statement Code]],FIND("- ",Table3[[#This Row],[Statement Code]])+2,100)</f>
        <v>TOTAL SHAREHOLDERS EQUITY</v>
      </c>
      <c r="D1074" s="602" t="s">
        <v>2431</v>
      </c>
      <c r="E1074" s="601" t="s">
        <v>2288</v>
      </c>
      <c r="F1074" s="601" t="s">
        <v>551</v>
      </c>
      <c r="G1074" s="601">
        <v>40460915</v>
      </c>
      <c r="H1074" s="601">
        <v>44368786</v>
      </c>
      <c r="I1074" s="601">
        <v>55304459</v>
      </c>
      <c r="J1074" s="601">
        <v>55277276</v>
      </c>
      <c r="K1074" s="601">
        <v>65141095</v>
      </c>
      <c r="L1074" s="601" t="s">
        <v>23</v>
      </c>
    </row>
    <row r="1075" spans="1:12" hidden="1">
      <c r="A1075" s="601" t="s">
        <v>2432</v>
      </c>
      <c r="B1075" s="601" t="str">
        <f t="shared" si="16"/>
        <v xml:space="preserve">LVMH </v>
      </c>
      <c r="C1075" s="601" t="str">
        <f>MID(Table3[[#This Row],[Statement Code]],FIND("- ",Table3[[#This Row],[Statement Code]])+2,100)</f>
        <v>WORKING CAPITAL</v>
      </c>
      <c r="D1075" s="602" t="s">
        <v>2433</v>
      </c>
      <c r="E1075" s="601" t="s">
        <v>2288</v>
      </c>
      <c r="F1075" s="601" t="s">
        <v>551</v>
      </c>
      <c r="G1075" s="601">
        <v>4298682</v>
      </c>
      <c r="H1075" s="601">
        <v>17380107</v>
      </c>
      <c r="I1075" s="601">
        <v>7408513</v>
      </c>
      <c r="J1075" s="601">
        <v>8221731</v>
      </c>
      <c r="K1075" s="601">
        <v>11279081</v>
      </c>
      <c r="L1075" s="601" t="s">
        <v>23</v>
      </c>
    </row>
    <row r="1076" spans="1:12" hidden="1">
      <c r="A1076" s="601" t="s">
        <v>2434</v>
      </c>
      <c r="B1076" s="601" t="str">
        <f t="shared" si="16"/>
        <v xml:space="preserve">LVMH </v>
      </c>
      <c r="C1076" s="601" t="str">
        <f>MID(Table3[[#This Row],[Statement Code]],FIND("- ",Table3[[#This Row],[Statement Code]])+2,100)</f>
        <v>BK VAL PS 12M FWD</v>
      </c>
      <c r="D1076" s="602" t="s">
        <v>2435</v>
      </c>
      <c r="E1076" s="601" t="s">
        <v>2288</v>
      </c>
      <c r="F1076" s="601" t="s">
        <v>551</v>
      </c>
      <c r="G1076" s="601">
        <v>88.2</v>
      </c>
      <c r="H1076" s="601">
        <v>95.46</v>
      </c>
      <c r="I1076" s="601">
        <v>116.94</v>
      </c>
      <c r="J1076" s="601">
        <v>126.33</v>
      </c>
      <c r="K1076" s="601">
        <v>154</v>
      </c>
      <c r="L1076" s="601">
        <v>166.94</v>
      </c>
    </row>
    <row r="1077" spans="1:12" hidden="1">
      <c r="A1077" s="601" t="s">
        <v>2436</v>
      </c>
      <c r="B1077" s="601" t="str">
        <f t="shared" si="16"/>
        <v xml:space="preserve">LVMH </v>
      </c>
      <c r="C1077" s="601" t="str">
        <f>MID(Table3[[#This Row],[Statement Code]],FIND("- ",Table3[[#This Row],[Statement Code]])+2,100)</f>
        <v>EV 12M FWD</v>
      </c>
      <c r="D1077" s="602" t="s">
        <v>2437</v>
      </c>
      <c r="E1077" s="601" t="s">
        <v>2288</v>
      </c>
      <c r="F1077" s="601" t="s">
        <v>551</v>
      </c>
      <c r="G1077" s="601">
        <v>216035512.19999999</v>
      </c>
      <c r="H1077" s="601">
        <v>278925518.60000002</v>
      </c>
      <c r="I1077" s="601">
        <v>418151296.39999998</v>
      </c>
      <c r="J1077" s="601">
        <v>305662357.19999999</v>
      </c>
      <c r="K1077" s="601">
        <v>470863652.89999998</v>
      </c>
      <c r="L1077" s="601">
        <v>373724266.60000002</v>
      </c>
    </row>
    <row r="1078" spans="1:12" hidden="1">
      <c r="A1078" s="601" t="s">
        <v>2438</v>
      </c>
      <c r="B1078" s="601" t="str">
        <f t="shared" si="16"/>
        <v xml:space="preserve">LVMH </v>
      </c>
      <c r="C1078" s="601" t="str">
        <f>MID(Table3[[#This Row],[Statement Code]],FIND("- ",Table3[[#This Row],[Statement Code]])+2,100)</f>
        <v>NET INCOME 12M FWD</v>
      </c>
      <c r="D1078" s="602" t="s">
        <v>2439</v>
      </c>
      <c r="E1078" s="601" t="s">
        <v>2288</v>
      </c>
      <c r="F1078" s="601" t="s">
        <v>551</v>
      </c>
      <c r="G1078" s="601">
        <v>8606483.1199999992</v>
      </c>
      <c r="H1078" s="601">
        <v>7404548.1500000004</v>
      </c>
      <c r="I1078" s="601">
        <v>13095121.439999999</v>
      </c>
      <c r="J1078" s="601">
        <v>15175950.9</v>
      </c>
      <c r="K1078" s="601">
        <v>18883348.440000001</v>
      </c>
      <c r="L1078" s="601">
        <v>17733946.82</v>
      </c>
    </row>
    <row r="1079" spans="1:12" hidden="1">
      <c r="A1079" s="601" t="s">
        <v>2440</v>
      </c>
      <c r="B1079" s="601" t="str">
        <f t="shared" si="16"/>
        <v xml:space="preserve">LVMH </v>
      </c>
      <c r="C1079" s="601" t="str">
        <f>MID(Table3[[#This Row],[Statement Code]],FIND("- ",Table3[[#This Row],[Statement Code]])+2,100)</f>
        <v>PRETAX PRF 12M FWD</v>
      </c>
      <c r="D1079" s="602" t="s">
        <v>2441</v>
      </c>
      <c r="E1079" s="601" t="s">
        <v>2288</v>
      </c>
      <c r="F1079" s="601" t="s">
        <v>551</v>
      </c>
      <c r="G1079" s="601">
        <v>12921006.09</v>
      </c>
      <c r="H1079" s="601">
        <v>11047431.6</v>
      </c>
      <c r="I1079" s="601">
        <v>18640594.449999999</v>
      </c>
      <c r="J1079" s="601">
        <v>22047551.960000001</v>
      </c>
      <c r="K1079" s="601">
        <v>26897425.190000001</v>
      </c>
      <c r="L1079" s="601">
        <v>25142005.420000002</v>
      </c>
    </row>
    <row r="1080" spans="1:12" hidden="1">
      <c r="A1080" s="601" t="s">
        <v>2442</v>
      </c>
      <c r="B1080" s="601" t="str">
        <f t="shared" si="16"/>
        <v xml:space="preserve">LVMH </v>
      </c>
      <c r="C1080" s="601" t="str">
        <f>MID(Table3[[#This Row],[Statement Code]],FIND("- ",Table3[[#This Row],[Statement Code]])+2,100)</f>
        <v>ROE 12M FWD</v>
      </c>
      <c r="D1080" s="602" t="s">
        <v>2443</v>
      </c>
      <c r="E1080" s="601" t="s">
        <v>2288</v>
      </c>
      <c r="F1080" s="601" t="s">
        <v>551</v>
      </c>
      <c r="G1080" s="601">
        <v>22.93</v>
      </c>
      <c r="H1080" s="601">
        <v>19.46</v>
      </c>
      <c r="I1080" s="601">
        <v>27.31</v>
      </c>
      <c r="J1080" s="601">
        <v>25.71</v>
      </c>
      <c r="K1080" s="601">
        <v>27.78</v>
      </c>
      <c r="L1080" s="601">
        <v>23.95</v>
      </c>
    </row>
    <row r="1081" spans="1:12" hidden="1">
      <c r="A1081" s="601" t="s">
        <v>2444</v>
      </c>
      <c r="B1081" s="601" t="str">
        <f t="shared" si="16"/>
        <v xml:space="preserve">LVMH </v>
      </c>
      <c r="C1081" s="601" t="str">
        <f>MID(Table3[[#This Row],[Statement Code]],FIND("- ",Table3[[#This Row],[Statement Code]])+2,100)</f>
        <v>SALES 12M FWD</v>
      </c>
      <c r="D1081" s="602" t="s">
        <v>2445</v>
      </c>
      <c r="E1081" s="601" t="s">
        <v>2288</v>
      </c>
      <c r="F1081" s="601" t="s">
        <v>551</v>
      </c>
      <c r="G1081" s="601">
        <v>61022393.740000002</v>
      </c>
      <c r="H1081" s="601">
        <v>61274825.670000002</v>
      </c>
      <c r="I1081" s="601">
        <v>76185527.709999993</v>
      </c>
      <c r="J1081" s="601">
        <v>81548613.640000001</v>
      </c>
      <c r="K1081" s="601">
        <v>99933035.819999993</v>
      </c>
      <c r="L1081" s="601">
        <v>101284012</v>
      </c>
    </row>
    <row r="1082" spans="1:12" hidden="1">
      <c r="A1082" s="601" t="s">
        <v>2446</v>
      </c>
      <c r="B1082" s="601" t="str">
        <f t="shared" si="16"/>
        <v xml:space="preserve">LVMH </v>
      </c>
      <c r="C1082" s="601" t="str">
        <f>MID(Table3[[#This Row],[Statement Code]],FIND("- ",Table3[[#This Row],[Statement Code]])+2,100)</f>
        <v>DECREASE/INCREASE RECEIVABLES</v>
      </c>
      <c r="D1082" s="602" t="s">
        <v>2447</v>
      </c>
      <c r="E1082" s="601" t="s">
        <v>2288</v>
      </c>
      <c r="F1082" s="601" t="s">
        <v>551</v>
      </c>
      <c r="G1082" s="601">
        <v>-133815</v>
      </c>
      <c r="H1082" s="601">
        <v>626182</v>
      </c>
      <c r="I1082" s="601" t="s">
        <v>23</v>
      </c>
      <c r="J1082" s="601">
        <v>-395189</v>
      </c>
      <c r="K1082" s="601">
        <v>-741975</v>
      </c>
      <c r="L1082" s="601" t="s">
        <v>23</v>
      </c>
    </row>
    <row r="1083" spans="1:12" hidden="1">
      <c r="A1083" s="601" t="s">
        <v>2448</v>
      </c>
      <c r="B1083" s="601" t="str">
        <f t="shared" si="16"/>
        <v xml:space="preserve">LVMH </v>
      </c>
      <c r="C1083" s="601" t="str">
        <f>MID(Table3[[#This Row],[Statement Code]],FIND("- ",Table3[[#This Row],[Statement Code]])+2,100)</f>
        <v>DECREASE/INCR OTH ASTS/LIABILT</v>
      </c>
      <c r="D1083" s="602" t="s">
        <v>2449</v>
      </c>
      <c r="E1083" s="601" t="s">
        <v>2288</v>
      </c>
      <c r="F1083" s="601" t="s">
        <v>551</v>
      </c>
      <c r="G1083" s="601">
        <v>119439</v>
      </c>
      <c r="H1083" s="601">
        <v>268025</v>
      </c>
      <c r="I1083" s="601" t="s">
        <v>23</v>
      </c>
      <c r="J1083" s="601">
        <v>14042</v>
      </c>
      <c r="K1083" s="601">
        <v>-88610</v>
      </c>
      <c r="L1083" s="601" t="s">
        <v>23</v>
      </c>
    </row>
    <row r="1084" spans="1:12" hidden="1">
      <c r="A1084" s="601" t="s">
        <v>2450</v>
      </c>
      <c r="B1084" s="601" t="str">
        <f t="shared" si="16"/>
        <v xml:space="preserve">LVMH </v>
      </c>
      <c r="C1084" s="601" t="str">
        <f>MID(Table3[[#This Row],[Statement Code]],FIND("- ",Table3[[#This Row],[Statement Code]])+2,100)</f>
        <v>DECREASE/INCREASE INVENTORIES</v>
      </c>
      <c r="D1084" s="602" t="s">
        <v>2451</v>
      </c>
      <c r="E1084" s="601" t="s">
        <v>2288</v>
      </c>
      <c r="F1084" s="601" t="s">
        <v>551</v>
      </c>
      <c r="G1084" s="601">
        <v>-1773884</v>
      </c>
      <c r="H1084" s="601">
        <v>-666504</v>
      </c>
      <c r="I1084" s="601" t="s">
        <v>23</v>
      </c>
      <c r="J1084" s="601">
        <v>-4181578</v>
      </c>
      <c r="K1084" s="601">
        <v>-4515903</v>
      </c>
      <c r="L1084" s="601" t="s">
        <v>23</v>
      </c>
    </row>
    <row r="1085" spans="1:12" hidden="1">
      <c r="A1085" s="601" t="s">
        <v>2452</v>
      </c>
      <c r="B1085" s="601" t="str">
        <f t="shared" si="16"/>
        <v xml:space="preserve">LVMH </v>
      </c>
      <c r="C1085" s="601" t="str">
        <f>MID(Table3[[#This Row],[Statement Code]],FIND("- ",Table3[[#This Row],[Statement Code]])+2,100)</f>
        <v>DECREASE IN INVESTMENTS</v>
      </c>
      <c r="D1085" s="602" t="s">
        <v>2453</v>
      </c>
      <c r="E1085" s="601" t="s">
        <v>2288</v>
      </c>
      <c r="F1085" s="601" t="s">
        <v>551</v>
      </c>
      <c r="G1085" s="601">
        <v>0</v>
      </c>
      <c r="H1085" s="601">
        <v>74715</v>
      </c>
      <c r="I1085" s="601">
        <v>0</v>
      </c>
      <c r="J1085" s="601">
        <v>0</v>
      </c>
      <c r="K1085" s="601">
        <v>0</v>
      </c>
      <c r="L1085" s="601" t="s">
        <v>23</v>
      </c>
    </row>
    <row r="1086" spans="1:12" hidden="1">
      <c r="A1086" s="601" t="s">
        <v>2454</v>
      </c>
      <c r="B1086" s="601" t="str">
        <f t="shared" si="16"/>
        <v xml:space="preserve">HERMES </v>
      </c>
      <c r="C1086" s="601" t="str">
        <f>MID(Table3[[#This Row],[Statement Code]],FIND("- ",Table3[[#This Row],[Statement Code]])+2,100)</f>
        <v>MARKET VALUE</v>
      </c>
      <c r="D1086" s="602" t="s">
        <v>2455</v>
      </c>
      <c r="E1086" s="601" t="s">
        <v>2456</v>
      </c>
      <c r="F1086" s="601" t="s">
        <v>551</v>
      </c>
      <c r="G1086" s="601">
        <v>72548.41</v>
      </c>
      <c r="H1086" s="601">
        <v>93148.42</v>
      </c>
      <c r="I1086" s="601">
        <v>158292.79</v>
      </c>
      <c r="J1086" s="601">
        <v>129871.03</v>
      </c>
      <c r="K1086" s="601">
        <v>211252.9</v>
      </c>
      <c r="L1086" s="601">
        <v>224065.08</v>
      </c>
    </row>
    <row r="1087" spans="1:12" hidden="1">
      <c r="A1087" s="601" t="s">
        <v>2457</v>
      </c>
      <c r="B1087" s="601" t="str">
        <f t="shared" si="16"/>
        <v xml:space="preserve">HERMES </v>
      </c>
      <c r="C1087" s="601" t="str">
        <f>MID(Table3[[#This Row],[Statement Code]],FIND("- ",Table3[[#This Row],[Statement Code]])+2,100)</f>
        <v>PER</v>
      </c>
      <c r="D1087" s="602" t="s">
        <v>2458</v>
      </c>
      <c r="E1087" s="601" t="s">
        <v>2456</v>
      </c>
      <c r="F1087" s="601" t="s">
        <v>717</v>
      </c>
      <c r="G1087" s="601">
        <v>44.6</v>
      </c>
      <c r="H1087" s="601">
        <v>69.900000000000006</v>
      </c>
      <c r="I1087" s="601">
        <v>60.1</v>
      </c>
      <c r="J1087" s="601">
        <v>44.1</v>
      </c>
      <c r="K1087" s="601">
        <v>49.6</v>
      </c>
      <c r="L1087" s="601">
        <v>44.9</v>
      </c>
    </row>
    <row r="1088" spans="1:12" hidden="1">
      <c r="A1088" s="601" t="s">
        <v>2459</v>
      </c>
      <c r="B1088" s="601" t="str">
        <f t="shared" si="16"/>
        <v xml:space="preserve">HERMES </v>
      </c>
      <c r="C1088" s="601" t="str">
        <f>MID(Table3[[#This Row],[Statement Code]],FIND("- ",Table3[[#This Row],[Statement Code]])+2,100)</f>
        <v>12MTH FORWARD EPS</v>
      </c>
      <c r="D1088" s="602" t="s">
        <v>2460</v>
      </c>
      <c r="E1088" s="601" t="s">
        <v>2456</v>
      </c>
      <c r="F1088" s="601" t="s">
        <v>551</v>
      </c>
      <c r="G1088" s="601">
        <v>17.027000000000001</v>
      </c>
      <c r="H1088" s="601">
        <v>16.532</v>
      </c>
      <c r="I1088" s="601">
        <v>26.943000000000001</v>
      </c>
      <c r="J1088" s="601">
        <v>30.765000000000001</v>
      </c>
      <c r="K1088" s="601">
        <v>45.164000000000001</v>
      </c>
      <c r="L1088" s="601">
        <v>52.308</v>
      </c>
    </row>
    <row r="1089" spans="1:12" hidden="1">
      <c r="A1089" s="601" t="s">
        <v>2461</v>
      </c>
      <c r="B1089" s="601" t="str">
        <f t="shared" si="16"/>
        <v xml:space="preserve">HERMES </v>
      </c>
      <c r="C1089" s="601" t="e">
        <f>MID(Table3[[#This Row],[Statement Code]],FIND("- ",Table3[[#This Row],[Statement Code]])+2,100)</f>
        <v>#VALUE!</v>
      </c>
      <c r="D1089" s="602" t="s">
        <v>2462</v>
      </c>
      <c r="E1089" s="601" t="s">
        <v>2456</v>
      </c>
      <c r="F1089" s="601" t="s">
        <v>717</v>
      </c>
      <c r="G1089" s="601">
        <v>2.5</v>
      </c>
      <c r="H1089" s="601">
        <v>1.857</v>
      </c>
      <c r="I1089" s="601">
        <v>1.8080000000000001</v>
      </c>
      <c r="J1089" s="601">
        <v>2.3620000000000001</v>
      </c>
      <c r="K1089" s="601">
        <v>2.3039999999999998</v>
      </c>
      <c r="L1089" s="601">
        <v>2.4649999999999999</v>
      </c>
    </row>
    <row r="1090" spans="1:12" hidden="1">
      <c r="A1090" s="601" t="s">
        <v>2461</v>
      </c>
      <c r="B1090" s="601" t="str">
        <f t="shared" si="16"/>
        <v xml:space="preserve">HERMES </v>
      </c>
      <c r="C1090" s="601" t="e">
        <f>MID(Table3[[#This Row],[Statement Code]],FIND("- ",Table3[[#This Row],[Statement Code]])+2,100)</f>
        <v>#VALUE!</v>
      </c>
      <c r="D1090" s="602" t="s">
        <v>2463</v>
      </c>
      <c r="E1090" s="601" t="s">
        <v>2456</v>
      </c>
      <c r="F1090" s="601" t="s">
        <v>23</v>
      </c>
      <c r="G1090" s="601">
        <v>25.962</v>
      </c>
      <c r="H1090" s="601">
        <v>34.167999999999999</v>
      </c>
      <c r="I1090" s="601">
        <v>37.655999999999999</v>
      </c>
      <c r="J1090" s="601">
        <v>26.501000000000001</v>
      </c>
      <c r="K1090" s="601">
        <v>30.943000000000001</v>
      </c>
      <c r="L1090" s="601">
        <v>29.373000000000001</v>
      </c>
    </row>
    <row r="1091" spans="1:12" hidden="1">
      <c r="A1091" s="601" t="s">
        <v>2461</v>
      </c>
      <c r="B1091" s="601" t="str">
        <f t="shared" ref="B1091:B1154" si="17">LEFT(A1091,FIND(" ",A1091))</f>
        <v xml:space="preserve">HERMES </v>
      </c>
      <c r="C1091" s="601" t="e">
        <f>MID(Table3[[#This Row],[Statement Code]],FIND("- ",Table3[[#This Row],[Statement Code]])+2,100)</f>
        <v>#VALUE!</v>
      </c>
      <c r="D1091" s="602" t="s">
        <v>2464</v>
      </c>
      <c r="E1091" s="601" t="s">
        <v>2456</v>
      </c>
      <c r="F1091" s="601" t="s">
        <v>23</v>
      </c>
      <c r="G1091" s="601">
        <v>23.32</v>
      </c>
      <c r="H1091" s="601">
        <v>28.641999999999999</v>
      </c>
      <c r="I1091" s="601">
        <v>32.712000000000003</v>
      </c>
      <c r="J1091" s="601">
        <v>23.393000000000001</v>
      </c>
      <c r="K1091" s="601">
        <v>27.765999999999998</v>
      </c>
      <c r="L1091" s="601">
        <v>26.33</v>
      </c>
    </row>
    <row r="1092" spans="1:12" hidden="1">
      <c r="A1092" s="601" t="s">
        <v>2461</v>
      </c>
      <c r="B1092" s="601" t="str">
        <f t="shared" si="17"/>
        <v xml:space="preserve">HERMES </v>
      </c>
      <c r="C1092" s="601" t="e">
        <f>MID(Table3[[#This Row],[Statement Code]],FIND("- ",Table3[[#This Row],[Statement Code]])+2,100)</f>
        <v>#VALUE!</v>
      </c>
      <c r="D1092" s="602" t="s">
        <v>2465</v>
      </c>
      <c r="E1092" s="601" t="s">
        <v>2456</v>
      </c>
      <c r="F1092" s="601" t="s">
        <v>717</v>
      </c>
      <c r="G1092" s="601">
        <v>2.5297999999999998</v>
      </c>
      <c r="H1092" s="601">
        <v>1.9227000000000001</v>
      </c>
      <c r="I1092" s="601">
        <v>1.5072000000000001</v>
      </c>
      <c r="J1092" s="601">
        <v>2.4177</v>
      </c>
      <c r="K1092" s="601">
        <v>2.1276000000000002</v>
      </c>
      <c r="L1092" s="601">
        <v>2.2673000000000001</v>
      </c>
    </row>
    <row r="1093" spans="1:12" hidden="1">
      <c r="A1093" s="601" t="s">
        <v>2461</v>
      </c>
      <c r="B1093" s="601" t="str">
        <f t="shared" si="17"/>
        <v xml:space="preserve">HERMES </v>
      </c>
      <c r="C1093" s="601" t="e">
        <f>MID(Table3[[#This Row],[Statement Code]],FIND("- ",Table3[[#This Row],[Statement Code]])+2,100)</f>
        <v>#VALUE!</v>
      </c>
      <c r="D1093" s="602" t="s">
        <v>2466</v>
      </c>
      <c r="E1093" s="601" t="s">
        <v>2456</v>
      </c>
      <c r="F1093" s="601" t="s">
        <v>23</v>
      </c>
      <c r="G1093" s="601">
        <v>8.8179999999999996</v>
      </c>
      <c r="H1093" s="601">
        <v>10.930999999999999</v>
      </c>
      <c r="I1093" s="601">
        <v>13.765000000000001</v>
      </c>
      <c r="J1093" s="601">
        <v>10.37</v>
      </c>
      <c r="K1093" s="601">
        <v>12.836</v>
      </c>
      <c r="L1093" s="601">
        <v>11.991</v>
      </c>
    </row>
    <row r="1094" spans="1:12" hidden="1">
      <c r="A1094" s="601" t="s">
        <v>2461</v>
      </c>
      <c r="B1094" s="601" t="str">
        <f t="shared" si="17"/>
        <v xml:space="preserve">HERMES </v>
      </c>
      <c r="C1094" s="601" t="e">
        <f>MID(Table3[[#This Row],[Statement Code]],FIND("- ",Table3[[#This Row],[Statement Code]])+2,100)</f>
        <v>#VALUE!</v>
      </c>
      <c r="D1094" s="602" t="s">
        <v>2467</v>
      </c>
      <c r="E1094" s="601" t="s">
        <v>2456</v>
      </c>
      <c r="F1094" s="601" t="s">
        <v>717</v>
      </c>
      <c r="G1094" s="601">
        <v>-1.8460000000000001</v>
      </c>
      <c r="H1094" s="601">
        <v>-1.978</v>
      </c>
      <c r="I1094" s="601">
        <v>-1.3740000000000001</v>
      </c>
      <c r="J1094" s="601">
        <v>-1.766</v>
      </c>
      <c r="K1094" s="601">
        <v>-1.837</v>
      </c>
      <c r="L1094" s="601">
        <v>-1.758</v>
      </c>
    </row>
    <row r="1095" spans="1:12" hidden="1">
      <c r="A1095" s="601" t="s">
        <v>2461</v>
      </c>
      <c r="B1095" s="601" t="str">
        <f t="shared" si="17"/>
        <v xml:space="preserve">HERMES </v>
      </c>
      <c r="C1095" s="601" t="e">
        <f>MID(Table3[[#This Row],[Statement Code]],FIND("- ",Table3[[#This Row],[Statement Code]])+2,100)</f>
        <v>#VALUE!</v>
      </c>
      <c r="D1095" s="602" t="s">
        <v>2468</v>
      </c>
      <c r="E1095" s="601" t="s">
        <v>2456</v>
      </c>
      <c r="F1095" s="601" t="s">
        <v>717</v>
      </c>
      <c r="G1095" s="601">
        <v>-8.1000000000000003E-2</v>
      </c>
      <c r="H1095" s="601">
        <v>-7.1999999999999995E-2</v>
      </c>
      <c r="I1095" s="601">
        <v>-4.2999999999999997E-2</v>
      </c>
      <c r="J1095" s="601">
        <v>-7.1999999999999995E-2</v>
      </c>
      <c r="K1095" s="601">
        <v>-6.7000000000000004E-2</v>
      </c>
      <c r="L1095" s="601">
        <v>-6.6000000000000003E-2</v>
      </c>
    </row>
    <row r="1096" spans="1:12" hidden="1">
      <c r="A1096" s="601" t="s">
        <v>2461</v>
      </c>
      <c r="B1096" s="601" t="str">
        <f t="shared" si="17"/>
        <v xml:space="preserve">HERMES </v>
      </c>
      <c r="C1096" s="601" t="e">
        <f>MID(Table3[[#This Row],[Statement Code]],FIND("- ",Table3[[#This Row],[Statement Code]])+2,100)</f>
        <v>#VALUE!</v>
      </c>
      <c r="D1096" s="602" t="s">
        <v>2469</v>
      </c>
      <c r="E1096" s="601" t="s">
        <v>2456</v>
      </c>
      <c r="F1096" s="601" t="s">
        <v>717</v>
      </c>
      <c r="G1096" s="601">
        <v>2.71</v>
      </c>
      <c r="H1096" s="601">
        <v>2.76</v>
      </c>
      <c r="I1096" s="601">
        <v>2.96</v>
      </c>
      <c r="J1096" s="601">
        <v>3.3</v>
      </c>
      <c r="K1096" s="601">
        <v>3.16</v>
      </c>
      <c r="L1096" s="601">
        <v>2.85</v>
      </c>
    </row>
    <row r="1097" spans="1:12" hidden="1">
      <c r="A1097" s="601" t="s">
        <v>2461</v>
      </c>
      <c r="B1097" s="601" t="str">
        <f t="shared" si="17"/>
        <v xml:space="preserve">HERMES </v>
      </c>
      <c r="C1097" s="601" t="e">
        <f>MID(Table3[[#This Row],[Statement Code]],FIND("- ",Table3[[#This Row],[Statement Code]])+2,100)</f>
        <v>#VALUE!</v>
      </c>
      <c r="D1097" s="602" t="s">
        <v>2470</v>
      </c>
      <c r="E1097" s="601" t="s">
        <v>2456</v>
      </c>
      <c r="F1097" s="601" t="s">
        <v>717</v>
      </c>
      <c r="G1097" s="601">
        <v>1.6</v>
      </c>
      <c r="H1097" s="601">
        <v>1.56</v>
      </c>
      <c r="I1097" s="601">
        <v>1.63</v>
      </c>
      <c r="J1097" s="601">
        <v>1.71</v>
      </c>
      <c r="K1097" s="601">
        <v>1.72</v>
      </c>
      <c r="L1097" s="601">
        <v>1.66</v>
      </c>
    </row>
    <row r="1098" spans="1:12" hidden="1">
      <c r="A1098" s="601" t="s">
        <v>2461</v>
      </c>
      <c r="B1098" s="601" t="str">
        <f t="shared" si="17"/>
        <v xml:space="preserve">HERMES </v>
      </c>
      <c r="C1098" s="601" t="e">
        <f>MID(Table3[[#This Row],[Statement Code]],FIND("- ",Table3[[#This Row],[Statement Code]])+2,100)</f>
        <v>#VALUE!</v>
      </c>
      <c r="D1098" s="602" t="s">
        <v>2471</v>
      </c>
      <c r="E1098" s="601" t="s">
        <v>2456</v>
      </c>
      <c r="F1098" s="601" t="s">
        <v>717</v>
      </c>
      <c r="G1098" s="601">
        <v>8.8158999999999992</v>
      </c>
      <c r="H1098" s="601">
        <v>9.5543999999999993</v>
      </c>
      <c r="I1098" s="601">
        <v>12.933400000000001</v>
      </c>
      <c r="J1098" s="601">
        <v>9.7441999999999993</v>
      </c>
      <c r="K1098" s="601">
        <v>11.4145</v>
      </c>
      <c r="L1098" s="601">
        <v>10.393599999999999</v>
      </c>
    </row>
    <row r="1099" spans="1:12">
      <c r="A1099" s="601" t="s">
        <v>2472</v>
      </c>
      <c r="B1099" s="601" t="str">
        <f t="shared" si="17"/>
        <v xml:space="preserve">HERMES </v>
      </c>
      <c r="C1099" s="601" t="str">
        <f>MID(Table3[[#This Row],[Statement Code]],FIND("- ",Table3[[#This Row],[Statement Code]])+2,100)</f>
        <v>12MTH TRAILING EPS</v>
      </c>
      <c r="D1099" s="602" t="s">
        <v>2473</v>
      </c>
      <c r="E1099" s="601" t="s">
        <v>2456</v>
      </c>
      <c r="F1099" s="601" t="s">
        <v>551</v>
      </c>
      <c r="G1099" s="601">
        <v>15.59</v>
      </c>
      <c r="H1099" s="601">
        <v>13.965</v>
      </c>
      <c r="I1099" s="601">
        <v>22.908000000000001</v>
      </c>
      <c r="J1099" s="601">
        <v>27.228999999999999</v>
      </c>
      <c r="K1099" s="601">
        <v>39.597000000000001</v>
      </c>
      <c r="L1099" s="601">
        <v>47.509</v>
      </c>
    </row>
    <row r="1100" spans="1:12" hidden="1">
      <c r="A1100" s="601" t="s">
        <v>2474</v>
      </c>
      <c r="B1100" s="601" t="str">
        <f t="shared" si="17"/>
        <v xml:space="preserve">HERMES </v>
      </c>
      <c r="C1100" s="601" t="str">
        <f>MID(Table3[[#This Row],[Statement Code]],FIND("- ",Table3[[#This Row],[Statement Code]])+2,100)</f>
        <v>DIV.PER SHR.</v>
      </c>
      <c r="D1100" s="602" t="s">
        <v>2475</v>
      </c>
      <c r="E1100" s="601" t="s">
        <v>2456</v>
      </c>
      <c r="F1100" s="601" t="s">
        <v>551</v>
      </c>
      <c r="G1100" s="601">
        <v>5.03</v>
      </c>
      <c r="H1100" s="601">
        <v>5.4</v>
      </c>
      <c r="I1100" s="601">
        <v>5.34</v>
      </c>
      <c r="J1100" s="601">
        <v>8.02</v>
      </c>
      <c r="K1100" s="601">
        <v>9.61</v>
      </c>
      <c r="L1100" s="601">
        <v>14.45</v>
      </c>
    </row>
    <row r="1101" spans="1:12" hidden="1">
      <c r="A1101" s="601" t="s">
        <v>2461</v>
      </c>
      <c r="B1101" s="601" t="str">
        <f t="shared" si="17"/>
        <v xml:space="preserve">HERMES </v>
      </c>
      <c r="C1101" s="601" t="e">
        <f>MID(Table3[[#This Row],[Statement Code]],FIND("- ",Table3[[#This Row],[Statement Code]])+2,100)</f>
        <v>#VALUE!</v>
      </c>
      <c r="D1101" s="602" t="s">
        <v>2476</v>
      </c>
      <c r="E1101" s="601" t="s">
        <v>2456</v>
      </c>
      <c r="F1101" s="601" t="s">
        <v>717</v>
      </c>
      <c r="G1101" s="601">
        <v>0.92800000000000005</v>
      </c>
      <c r="H1101" s="601">
        <v>0.76300000000000001</v>
      </c>
      <c r="I1101" s="601">
        <v>0.57199999999999995</v>
      </c>
      <c r="J1101" s="601">
        <v>0.80500000000000005</v>
      </c>
      <c r="K1101" s="601">
        <v>0.91700000000000004</v>
      </c>
      <c r="L1101" s="601">
        <v>1.0269999999999999</v>
      </c>
    </row>
    <row r="1102" spans="1:12" hidden="1">
      <c r="A1102" s="601" t="s">
        <v>2459</v>
      </c>
      <c r="B1102" s="601" t="str">
        <f t="shared" si="17"/>
        <v xml:space="preserve">HERMES </v>
      </c>
      <c r="C1102" s="601" t="str">
        <f>MID(Table3[[#This Row],[Statement Code]],FIND("- ",Table3[[#This Row],[Statement Code]])+2,100)</f>
        <v>12MTH FORWARD EPS</v>
      </c>
      <c r="D1102" s="602" t="s">
        <v>2460</v>
      </c>
      <c r="E1102" s="601" t="s">
        <v>2456</v>
      </c>
      <c r="F1102" s="601" t="s">
        <v>551</v>
      </c>
      <c r="G1102" s="601">
        <v>17.027000000000001</v>
      </c>
      <c r="H1102" s="601">
        <v>16.532</v>
      </c>
      <c r="I1102" s="601">
        <v>26.943000000000001</v>
      </c>
      <c r="J1102" s="601">
        <v>30.765000000000001</v>
      </c>
      <c r="K1102" s="601">
        <v>45.164000000000001</v>
      </c>
      <c r="L1102" s="601">
        <v>52.308</v>
      </c>
    </row>
    <row r="1103" spans="1:12" hidden="1">
      <c r="A1103" s="601" t="s">
        <v>2457</v>
      </c>
      <c r="B1103" s="601" t="str">
        <f t="shared" si="17"/>
        <v xml:space="preserve">HERMES </v>
      </c>
      <c r="C1103" s="601" t="str">
        <f>MID(Table3[[#This Row],[Statement Code]],FIND("- ",Table3[[#This Row],[Statement Code]])+2,100)</f>
        <v>PER</v>
      </c>
      <c r="D1103" s="602" t="s">
        <v>2458</v>
      </c>
      <c r="E1103" s="601" t="s">
        <v>2456</v>
      </c>
      <c r="F1103" s="601" t="s">
        <v>717</v>
      </c>
      <c r="G1103" s="601">
        <v>44.6</v>
      </c>
      <c r="H1103" s="601">
        <v>69.900000000000006</v>
      </c>
      <c r="I1103" s="601">
        <v>60.1</v>
      </c>
      <c r="J1103" s="601">
        <v>44.1</v>
      </c>
      <c r="K1103" s="601">
        <v>49.6</v>
      </c>
      <c r="L1103" s="601">
        <v>44.9</v>
      </c>
    </row>
    <row r="1104" spans="1:12" hidden="1">
      <c r="A1104" s="601" t="s">
        <v>2454</v>
      </c>
      <c r="B1104" s="601" t="str">
        <f t="shared" si="17"/>
        <v xml:space="preserve">HERMES </v>
      </c>
      <c r="C1104" s="601" t="str">
        <f>MID(Table3[[#This Row],[Statement Code]],FIND("- ",Table3[[#This Row],[Statement Code]])+2,100)</f>
        <v>MARKET VALUE</v>
      </c>
      <c r="D1104" s="602" t="s">
        <v>2455</v>
      </c>
      <c r="E1104" s="601" t="s">
        <v>2456</v>
      </c>
      <c r="F1104" s="601" t="s">
        <v>551</v>
      </c>
      <c r="G1104" s="601">
        <v>72548.41</v>
      </c>
      <c r="H1104" s="601">
        <v>93148.42</v>
      </c>
      <c r="I1104" s="601">
        <v>158292.79</v>
      </c>
      <c r="J1104" s="601">
        <v>129871.03</v>
      </c>
      <c r="K1104" s="601">
        <v>211252.9</v>
      </c>
      <c r="L1104" s="601">
        <v>224065.08</v>
      </c>
    </row>
    <row r="1105" spans="1:12" hidden="1">
      <c r="A1105" s="601" t="s">
        <v>2477</v>
      </c>
      <c r="B1105" s="601" t="str">
        <f t="shared" si="17"/>
        <v xml:space="preserve">HERMES </v>
      </c>
      <c r="C1105" s="601" t="str">
        <f>MID(Table3[[#This Row],[Statement Code]],FIND("- ",Table3[[#This Row],[Statement Code]])+2,100)</f>
        <v>EARNINGS PER SHR</v>
      </c>
      <c r="D1105" s="602" t="s">
        <v>2478</v>
      </c>
      <c r="E1105" s="601" t="s">
        <v>2456</v>
      </c>
      <c r="F1105" s="601" t="s">
        <v>551</v>
      </c>
      <c r="G1105" s="601">
        <v>15.39</v>
      </c>
      <c r="H1105" s="601">
        <v>12.62</v>
      </c>
      <c r="I1105" s="601">
        <v>24.96</v>
      </c>
      <c r="J1105" s="601">
        <v>27.92</v>
      </c>
      <c r="K1105" s="601">
        <v>40.32</v>
      </c>
      <c r="L1105" s="601">
        <v>47.29</v>
      </c>
    </row>
    <row r="1106" spans="1:12" hidden="1">
      <c r="A1106" s="601" t="s">
        <v>2461</v>
      </c>
      <c r="B1106" s="601" t="str">
        <f t="shared" si="17"/>
        <v xml:space="preserve">HERMES </v>
      </c>
      <c r="C1106" s="601" t="e">
        <f>MID(Table3[[#This Row],[Statement Code]],FIND("- ",Table3[[#This Row],[Statement Code]])+2,100)</f>
        <v>#VALUE!</v>
      </c>
      <c r="D1106" s="602" t="s">
        <v>2479</v>
      </c>
      <c r="E1106" s="601" t="s">
        <v>2456</v>
      </c>
      <c r="F1106" s="601" t="s">
        <v>23</v>
      </c>
      <c r="G1106" s="601">
        <v>0.62409999999999999</v>
      </c>
      <c r="H1106" s="601">
        <v>0.73080000000000001</v>
      </c>
      <c r="I1106" s="601">
        <v>0.72550000000000003</v>
      </c>
      <c r="J1106" s="601">
        <v>0.86380000000000001</v>
      </c>
      <c r="K1106" s="601">
        <v>0.86509999999999998</v>
      </c>
      <c r="L1106" s="601">
        <v>0.89659999999999995</v>
      </c>
    </row>
    <row r="1107" spans="1:12" hidden="1">
      <c r="A1107" s="601" t="s">
        <v>2461</v>
      </c>
      <c r="B1107" s="601" t="str">
        <f t="shared" si="17"/>
        <v xml:space="preserve">HERMES </v>
      </c>
      <c r="C1107" s="601" t="e">
        <f>MID(Table3[[#This Row],[Statement Code]],FIND("- ",Table3[[#This Row],[Statement Code]])+2,100)</f>
        <v>#VALUE!</v>
      </c>
      <c r="D1107" s="602" t="s">
        <v>2480</v>
      </c>
      <c r="E1107" s="601" t="s">
        <v>2456</v>
      </c>
      <c r="F1107" s="601" t="s">
        <v>23</v>
      </c>
      <c r="G1107" s="601">
        <v>0.18940000000000001</v>
      </c>
      <c r="H1107" s="601">
        <v>0.252</v>
      </c>
      <c r="I1107" s="601">
        <v>0.24</v>
      </c>
      <c r="J1107" s="601">
        <v>0.31409999999999999</v>
      </c>
      <c r="K1107" s="601">
        <v>0.31380000000000002</v>
      </c>
      <c r="L1107" s="601">
        <v>0.33339999999999997</v>
      </c>
    </row>
    <row r="1108" spans="1:12" hidden="1">
      <c r="A1108" s="601" t="s">
        <v>2481</v>
      </c>
      <c r="B1108" s="601" t="str">
        <f t="shared" si="17"/>
        <v xml:space="preserve">HERMES </v>
      </c>
      <c r="C1108" s="601" t="str">
        <f>MID(Table3[[#This Row],[Statement Code]],FIND("- ",Table3[[#This Row],[Statement Code]])+2,100)</f>
        <v>ACCOUNTS PAYABLE</v>
      </c>
      <c r="D1108" s="602" t="s">
        <v>2482</v>
      </c>
      <c r="E1108" s="601" t="s">
        <v>2456</v>
      </c>
      <c r="F1108" s="601" t="s">
        <v>551</v>
      </c>
      <c r="G1108" s="601">
        <v>448558</v>
      </c>
      <c r="H1108" s="601">
        <v>441885</v>
      </c>
      <c r="I1108" s="601">
        <v>528173</v>
      </c>
      <c r="J1108" s="601">
        <v>660988</v>
      </c>
      <c r="K1108" s="601">
        <v>731299</v>
      </c>
      <c r="L1108" s="601" t="s">
        <v>23</v>
      </c>
    </row>
    <row r="1109" spans="1:12" hidden="1">
      <c r="A1109" s="601" t="s">
        <v>2483</v>
      </c>
      <c r="B1109" s="601" t="str">
        <f t="shared" si="17"/>
        <v xml:space="preserve">HERMES </v>
      </c>
      <c r="C1109" s="601" t="str">
        <f>MID(Table3[[#This Row],[Statement Code]],FIND("- ",Table3[[#This Row],[Statement Code]])+2,100)</f>
        <v>AMORTIZATION OF DEFERRED CHARG</v>
      </c>
      <c r="D1109" s="602" t="s">
        <v>2484</v>
      </c>
      <c r="E1109" s="601" t="s">
        <v>2456</v>
      </c>
      <c r="F1109" s="601" t="s">
        <v>551</v>
      </c>
      <c r="G1109" s="601">
        <v>0</v>
      </c>
      <c r="H1109" s="601">
        <v>0</v>
      </c>
      <c r="I1109" s="601">
        <v>0</v>
      </c>
      <c r="J1109" s="601">
        <v>0</v>
      </c>
      <c r="K1109" s="601">
        <v>0</v>
      </c>
      <c r="L1109" s="601" t="s">
        <v>23</v>
      </c>
    </row>
    <row r="1110" spans="1:12" hidden="1">
      <c r="A1110" s="601" t="s">
        <v>2485</v>
      </c>
      <c r="B1110" s="601" t="str">
        <f t="shared" si="17"/>
        <v xml:space="preserve">HERMES </v>
      </c>
      <c r="C1110" s="601" t="str">
        <f>MID(Table3[[#This Row],[Statement Code]],FIND("- ",Table3[[#This Row],[Statement Code]])+2,100)</f>
        <v>AMORTIZATION-INTANGIBLE ASSETS</v>
      </c>
      <c r="D1110" s="602" t="s">
        <v>2486</v>
      </c>
      <c r="E1110" s="601" t="s">
        <v>2456</v>
      </c>
      <c r="F1110" s="601" t="s">
        <v>551</v>
      </c>
      <c r="G1110" s="601" t="s">
        <v>23</v>
      </c>
      <c r="H1110" s="601" t="s">
        <v>23</v>
      </c>
      <c r="I1110" s="601" t="s">
        <v>23</v>
      </c>
      <c r="J1110" s="601">
        <v>83250</v>
      </c>
      <c r="K1110" s="601" t="s">
        <v>23</v>
      </c>
      <c r="L1110" s="601" t="s">
        <v>23</v>
      </c>
    </row>
    <row r="1111" spans="1:12" hidden="1">
      <c r="A1111" s="601" t="s">
        <v>2487</v>
      </c>
      <c r="B1111" s="601" t="str">
        <f t="shared" si="17"/>
        <v xml:space="preserve">HERMES </v>
      </c>
      <c r="C1111" s="601" t="str">
        <f>MID(Table3[[#This Row],[Statement Code]],FIND("- ",Table3[[#This Row],[Statement Code]])+2,100)</f>
        <v>AMORTIZATION OF INTANGIBLES</v>
      </c>
      <c r="D1111" s="602" t="s">
        <v>2488</v>
      </c>
      <c r="E1111" s="601" t="s">
        <v>2456</v>
      </c>
      <c r="F1111" s="601" t="s">
        <v>551</v>
      </c>
      <c r="G1111" s="601">
        <v>51314</v>
      </c>
      <c r="H1111" s="601">
        <v>77798</v>
      </c>
      <c r="I1111" s="601">
        <v>102114</v>
      </c>
      <c r="J1111" s="601">
        <v>83250</v>
      </c>
      <c r="K1111" s="601">
        <v>101421</v>
      </c>
      <c r="L1111" s="601" t="s">
        <v>23</v>
      </c>
    </row>
    <row r="1112" spans="1:12" hidden="1">
      <c r="A1112" s="601" t="s">
        <v>2489</v>
      </c>
      <c r="B1112" s="601" t="str">
        <f t="shared" si="17"/>
        <v xml:space="preserve">HERMES </v>
      </c>
      <c r="C1112" s="601" t="str">
        <f>MID(Table3[[#This Row],[Statement Code]],FIND("- ",Table3[[#This Row],[Statement Code]])+2,100)</f>
        <v>BOOK VALUE-OUT SHARES-FISCAL</v>
      </c>
      <c r="D1112" s="602" t="s">
        <v>2490</v>
      </c>
      <c r="E1112" s="601" t="s">
        <v>2456</v>
      </c>
      <c r="F1112" s="601" t="s">
        <v>551</v>
      </c>
      <c r="G1112" s="601">
        <v>69.703999999999994</v>
      </c>
      <c r="H1112" s="601">
        <v>83.673000000000002</v>
      </c>
      <c r="I1112" s="601">
        <v>105.43300000000001</v>
      </c>
      <c r="J1112" s="601">
        <v>118.324</v>
      </c>
      <c r="K1112" s="601">
        <v>155.34200000000001</v>
      </c>
      <c r="L1112" s="601" t="s">
        <v>23</v>
      </c>
    </row>
    <row r="1113" spans="1:12" hidden="1">
      <c r="A1113" s="601" t="s">
        <v>2491</v>
      </c>
      <c r="B1113" s="601" t="str">
        <f t="shared" si="17"/>
        <v xml:space="preserve">HERMES </v>
      </c>
      <c r="C1113" s="601" t="str">
        <f>MID(Table3[[#This Row],[Statement Code]],FIND("- ",Table3[[#This Row],[Statement Code]])+2,100)</f>
        <v>BOOK VALUE PER SHARE</v>
      </c>
      <c r="D1113" s="602" t="s">
        <v>2492</v>
      </c>
      <c r="E1113" s="601" t="s">
        <v>2456</v>
      </c>
      <c r="F1113" s="601" t="s">
        <v>551</v>
      </c>
      <c r="G1113" s="601">
        <v>69.703999999999994</v>
      </c>
      <c r="H1113" s="601">
        <v>83.673000000000002</v>
      </c>
      <c r="I1113" s="601">
        <v>105.43300000000001</v>
      </c>
      <c r="J1113" s="601">
        <v>118.324</v>
      </c>
      <c r="K1113" s="601">
        <v>155.34200000000001</v>
      </c>
      <c r="L1113" s="601" t="s">
        <v>23</v>
      </c>
    </row>
    <row r="1114" spans="1:12">
      <c r="A1114" s="601" t="s">
        <v>2493</v>
      </c>
      <c r="B1114" s="601" t="str">
        <f t="shared" si="17"/>
        <v xml:space="preserve">HERMES </v>
      </c>
      <c r="C1114" s="601" t="str">
        <f>MID(Table3[[#This Row],[Statement Code]],FIND("- ",Table3[[#This Row],[Statement Code]])+2,100)</f>
        <v>CAPITAL EXPENDITURES</v>
      </c>
      <c r="D1114" s="602" t="s">
        <v>2494</v>
      </c>
      <c r="E1114" s="601" t="s">
        <v>2456</v>
      </c>
      <c r="F1114" s="601" t="s">
        <v>551</v>
      </c>
      <c r="G1114" s="601">
        <v>528626</v>
      </c>
      <c r="H1114" s="601">
        <v>531780</v>
      </c>
      <c r="I1114" s="601">
        <v>624418</v>
      </c>
      <c r="J1114" s="601">
        <v>519563</v>
      </c>
      <c r="K1114" s="601">
        <v>917059</v>
      </c>
      <c r="L1114" s="601" t="s">
        <v>23</v>
      </c>
    </row>
    <row r="1115" spans="1:12" hidden="1">
      <c r="A1115" s="601" t="s">
        <v>2495</v>
      </c>
      <c r="B1115" s="601" t="str">
        <f t="shared" si="17"/>
        <v xml:space="preserve">HERMES </v>
      </c>
      <c r="C1115" s="601" t="str">
        <f>MID(Table3[[#This Row],[Statement Code]],FIND("- ",Table3[[#This Row],[Statement Code]])+2,100)</f>
        <v>CASH</v>
      </c>
      <c r="D1115" s="602" t="s">
        <v>2496</v>
      </c>
      <c r="E1115" s="601" t="s">
        <v>2456</v>
      </c>
      <c r="F1115" s="601" t="s">
        <v>551</v>
      </c>
      <c r="G1115" s="601">
        <v>4848542</v>
      </c>
      <c r="H1115" s="601">
        <v>5612749</v>
      </c>
      <c r="I1115" s="601">
        <v>7859221</v>
      </c>
      <c r="J1115" s="601">
        <v>9252833</v>
      </c>
      <c r="K1115" s="601">
        <v>11343136</v>
      </c>
      <c r="L1115" s="601" t="s">
        <v>23</v>
      </c>
    </row>
    <row r="1116" spans="1:12" hidden="1">
      <c r="A1116" s="601" t="s">
        <v>2497</v>
      </c>
      <c r="B1116" s="601" t="str">
        <f t="shared" si="17"/>
        <v xml:space="preserve">HERMES </v>
      </c>
      <c r="C1116" s="601" t="str">
        <f>MID(Table3[[#This Row],[Statement Code]],FIND("- ",Table3[[#This Row],[Statement Code]])+2,100)</f>
        <v>CASH - GENERIC</v>
      </c>
      <c r="D1116" s="602" t="s">
        <v>2498</v>
      </c>
      <c r="E1116" s="601" t="s">
        <v>2456</v>
      </c>
      <c r="F1116" s="601" t="s">
        <v>551</v>
      </c>
      <c r="G1116" s="601">
        <v>4888907</v>
      </c>
      <c r="H1116" s="601">
        <v>5756723</v>
      </c>
      <c r="I1116" s="601">
        <v>7921429</v>
      </c>
      <c r="J1116" s="601">
        <v>9413316</v>
      </c>
      <c r="K1116" s="601">
        <v>11543843</v>
      </c>
      <c r="L1116" s="601" t="s">
        <v>23</v>
      </c>
    </row>
    <row r="1117" spans="1:12">
      <c r="A1117" s="601" t="s">
        <v>2499</v>
      </c>
      <c r="B1117" s="601" t="str">
        <f t="shared" si="17"/>
        <v xml:space="preserve">HERMES </v>
      </c>
      <c r="C1117" s="601" t="str">
        <f>MID(Table3[[#This Row],[Statement Code]],FIND("- ",Table3[[#This Row],[Statement Code]])+2,100)</f>
        <v>CASH &amp; SHORT TERM INVESTMENTS</v>
      </c>
      <c r="D1117" s="602" t="s">
        <v>2500</v>
      </c>
      <c r="E1117" s="601" t="s">
        <v>2456</v>
      </c>
      <c r="F1117" s="601" t="s">
        <v>551</v>
      </c>
      <c r="G1117" s="601">
        <v>4888907</v>
      </c>
      <c r="H1117" s="601">
        <v>5756723</v>
      </c>
      <c r="I1117" s="601">
        <v>7921429</v>
      </c>
      <c r="J1117" s="601">
        <v>9413316</v>
      </c>
      <c r="K1117" s="601">
        <v>11543843</v>
      </c>
      <c r="L1117" s="601" t="s">
        <v>23</v>
      </c>
    </row>
    <row r="1118" spans="1:12" hidden="1">
      <c r="A1118" s="601" t="s">
        <v>2501</v>
      </c>
      <c r="B1118" s="601" t="str">
        <f t="shared" si="17"/>
        <v xml:space="preserve">HERMES </v>
      </c>
      <c r="C1118" s="601" t="str">
        <f>MID(Table3[[#This Row],[Statement Code]],FIND("- ",Table3[[#This Row],[Statement Code]])+2,100)</f>
        <v>CASH DIVIDENDS PAID - TOTAL</v>
      </c>
      <c r="D1118" s="602" t="s">
        <v>2502</v>
      </c>
      <c r="E1118" s="601" t="s">
        <v>2456</v>
      </c>
      <c r="F1118" s="601" t="s">
        <v>551</v>
      </c>
      <c r="G1118" s="601">
        <v>538137</v>
      </c>
      <c r="H1118" s="601">
        <v>575305</v>
      </c>
      <c r="I1118" s="601">
        <v>569254</v>
      </c>
      <c r="J1118" s="601">
        <v>847549</v>
      </c>
      <c r="K1118" s="601">
        <v>1479679</v>
      </c>
      <c r="L1118" s="601" t="s">
        <v>23</v>
      </c>
    </row>
    <row r="1119" spans="1:12" hidden="1">
      <c r="A1119" s="601" t="s">
        <v>2503</v>
      </c>
      <c r="B1119" s="601" t="str">
        <f t="shared" si="17"/>
        <v xml:space="preserve">HERMES </v>
      </c>
      <c r="C1119" s="601" t="str">
        <f>MID(Table3[[#This Row],[Statement Code]],FIND("- ",Table3[[#This Row],[Statement Code]])+2,100)</f>
        <v>CASH FLOW PER SHARE</v>
      </c>
      <c r="D1119" s="602" t="s">
        <v>2504</v>
      </c>
      <c r="E1119" s="601" t="s">
        <v>2456</v>
      </c>
      <c r="F1119" s="601" t="s">
        <v>551</v>
      </c>
      <c r="G1119" s="601">
        <v>22.291</v>
      </c>
      <c r="H1119" s="601">
        <v>22.872</v>
      </c>
      <c r="I1119" s="601">
        <v>34.856999999999999</v>
      </c>
      <c r="J1119" s="601">
        <v>40.085999999999999</v>
      </c>
      <c r="K1119" s="601">
        <v>53.408999999999999</v>
      </c>
      <c r="L1119" s="601" t="s">
        <v>23</v>
      </c>
    </row>
    <row r="1120" spans="1:12" hidden="1">
      <c r="A1120" s="601" t="s">
        <v>2505</v>
      </c>
      <c r="B1120" s="601" t="str">
        <f t="shared" si="17"/>
        <v xml:space="preserve">HERMES </v>
      </c>
      <c r="C1120" s="601" t="str">
        <f>MID(Table3[[#This Row],[Statement Code]],FIND("- ",Table3[[#This Row],[Statement Code]])+2,100)</f>
        <v>CASH FLOW PER SHARE - FIS YR</v>
      </c>
      <c r="D1120" s="602" t="s">
        <v>2506</v>
      </c>
      <c r="E1120" s="601" t="s">
        <v>2456</v>
      </c>
      <c r="F1120" s="601" t="s">
        <v>551</v>
      </c>
      <c r="G1120" s="601">
        <v>22.291</v>
      </c>
      <c r="H1120" s="601">
        <v>22.872</v>
      </c>
      <c r="I1120" s="601">
        <v>34.856999999999999</v>
      </c>
      <c r="J1120" s="601">
        <v>40.085999999999999</v>
      </c>
      <c r="K1120" s="601">
        <v>53.408999999999999</v>
      </c>
      <c r="L1120" s="601" t="s">
        <v>23</v>
      </c>
    </row>
    <row r="1121" spans="1:12" hidden="1">
      <c r="A1121" s="601" t="s">
        <v>2507</v>
      </c>
      <c r="B1121" s="601" t="str">
        <f t="shared" si="17"/>
        <v xml:space="preserve">HERMES </v>
      </c>
      <c r="C1121" s="601" t="str">
        <f>MID(Table3[[#This Row],[Statement Code]],FIND("- ",Table3[[#This Row],[Statement Code]])+2,100)</f>
        <v>COMMON DIVIDENDS (CASH)</v>
      </c>
      <c r="D1121" s="602" t="s">
        <v>2508</v>
      </c>
      <c r="E1121" s="601" t="s">
        <v>2456</v>
      </c>
      <c r="F1121" s="601" t="s">
        <v>551</v>
      </c>
      <c r="G1121" s="601">
        <v>538137</v>
      </c>
      <c r="H1121" s="601">
        <v>575305</v>
      </c>
      <c r="I1121" s="601">
        <v>569254</v>
      </c>
      <c r="J1121" s="601">
        <v>847549</v>
      </c>
      <c r="K1121" s="601">
        <v>1479679</v>
      </c>
      <c r="L1121" s="601" t="s">
        <v>23</v>
      </c>
    </row>
    <row r="1122" spans="1:12" hidden="1">
      <c r="A1122" s="601" t="s">
        <v>2509</v>
      </c>
      <c r="B1122" s="601" t="str">
        <f t="shared" si="17"/>
        <v xml:space="preserve">HERMES </v>
      </c>
      <c r="C1122" s="601" t="str">
        <f>MID(Table3[[#This Row],[Statement Code]],FIND("- ",Table3[[#This Row],[Statement Code]])+2,100)</f>
        <v>COMMON SHAREHOLDERS' EQUITY</v>
      </c>
      <c r="D1122" s="602" t="s">
        <v>2510</v>
      </c>
      <c r="E1122" s="601" t="s">
        <v>2456</v>
      </c>
      <c r="F1122" s="601" t="s">
        <v>551</v>
      </c>
      <c r="G1122" s="601">
        <v>7263744</v>
      </c>
      <c r="H1122" s="601">
        <v>8752434</v>
      </c>
      <c r="I1122" s="601">
        <v>11032957</v>
      </c>
      <c r="J1122" s="601">
        <v>12478536</v>
      </c>
      <c r="K1122" s="601">
        <v>16228425</v>
      </c>
      <c r="L1122" s="601" t="s">
        <v>23</v>
      </c>
    </row>
    <row r="1123" spans="1:12">
      <c r="A1123" s="601" t="s">
        <v>2511</v>
      </c>
      <c r="B1123" s="601" t="str">
        <f t="shared" si="17"/>
        <v xml:space="preserve">HERMES </v>
      </c>
      <c r="C1123" s="601" t="str">
        <f>MID(Table3[[#This Row],[Statement Code]],FIND("- ",Table3[[#This Row],[Statement Code]])+2,100)</f>
        <v>COMMON STOCK</v>
      </c>
      <c r="D1123" s="602" t="s">
        <v>2512</v>
      </c>
      <c r="E1123" s="601" t="s">
        <v>2456</v>
      </c>
      <c r="F1123" s="601" t="s">
        <v>551</v>
      </c>
      <c r="G1123" s="601">
        <v>59498</v>
      </c>
      <c r="H1123" s="601">
        <v>63804</v>
      </c>
      <c r="I1123" s="601">
        <v>63381</v>
      </c>
      <c r="J1123" s="601">
        <v>54163</v>
      </c>
      <c r="K1123" s="601">
        <v>57650</v>
      </c>
      <c r="L1123" s="601" t="s">
        <v>23</v>
      </c>
    </row>
    <row r="1124" spans="1:12" hidden="1">
      <c r="A1124" s="601" t="s">
        <v>2513</v>
      </c>
      <c r="B1124" s="601" t="str">
        <f t="shared" si="17"/>
        <v xml:space="preserve">HERMES </v>
      </c>
      <c r="C1124" s="601" t="str">
        <f>MID(Table3[[#This Row],[Statement Code]],FIND("- ",Table3[[#This Row],[Statement Code]])+2,100)</f>
        <v>COST OF GOODS SOLD (EXCL DEP)</v>
      </c>
      <c r="D1124" s="602" t="s">
        <v>2514</v>
      </c>
      <c r="E1124" s="601" t="s">
        <v>2456</v>
      </c>
      <c r="F1124" s="601" t="s">
        <v>551</v>
      </c>
      <c r="G1124" s="601">
        <v>2307155</v>
      </c>
      <c r="H1124" s="601">
        <v>2335137</v>
      </c>
      <c r="I1124" s="601">
        <v>2970682</v>
      </c>
      <c r="J1124" s="601">
        <v>3343056</v>
      </c>
      <c r="K1124" s="601">
        <v>3902039</v>
      </c>
      <c r="L1124" s="601" t="s">
        <v>23</v>
      </c>
    </row>
    <row r="1125" spans="1:12">
      <c r="A1125" s="601" t="s">
        <v>2515</v>
      </c>
      <c r="B1125" s="601" t="str">
        <f t="shared" si="17"/>
        <v xml:space="preserve">HERMES </v>
      </c>
      <c r="C1125" s="601" t="str">
        <f>MID(Table3[[#This Row],[Statement Code]],FIND("- ",Table3[[#This Row],[Statement Code]])+2,100)</f>
        <v>CURRENT ASSETS - TOTAL</v>
      </c>
      <c r="D1125" s="602" t="s">
        <v>2516</v>
      </c>
      <c r="E1125" s="601" t="s">
        <v>2456</v>
      </c>
      <c r="F1125" s="601" t="s">
        <v>551</v>
      </c>
      <c r="G1125" s="601">
        <v>6735560</v>
      </c>
      <c r="H1125" s="601">
        <v>7886216</v>
      </c>
      <c r="I1125" s="601">
        <v>10381543</v>
      </c>
      <c r="J1125" s="601">
        <v>11863686</v>
      </c>
      <c r="K1125" s="601">
        <v>14954791</v>
      </c>
      <c r="L1125" s="601" t="s">
        <v>23</v>
      </c>
    </row>
    <row r="1126" spans="1:12">
      <c r="A1126" s="601" t="s">
        <v>2517</v>
      </c>
      <c r="B1126" s="601" t="str">
        <f t="shared" si="17"/>
        <v xml:space="preserve">HERMES </v>
      </c>
      <c r="C1126" s="601" t="str">
        <f>MID(Table3[[#This Row],[Statement Code]],FIND("- ",Table3[[#This Row],[Statement Code]])+2,100)</f>
        <v>CURRENT LIABILITIES-TOTAL</v>
      </c>
      <c r="D1126" s="602" t="s">
        <v>2518</v>
      </c>
      <c r="E1126" s="601" t="s">
        <v>2456</v>
      </c>
      <c r="F1126" s="601" t="s">
        <v>551</v>
      </c>
      <c r="G1126" s="601">
        <v>2237925</v>
      </c>
      <c r="H1126" s="601">
        <v>2180489</v>
      </c>
      <c r="I1126" s="601">
        <v>3022326</v>
      </c>
      <c r="J1126" s="601">
        <v>3013063</v>
      </c>
      <c r="K1126" s="601">
        <v>3398137</v>
      </c>
      <c r="L1126" s="601" t="s">
        <v>23</v>
      </c>
    </row>
    <row r="1127" spans="1:12" hidden="1">
      <c r="A1127" s="601" t="s">
        <v>2519</v>
      </c>
      <c r="B1127" s="601" t="str">
        <f t="shared" si="17"/>
        <v xml:space="preserve">HERMES </v>
      </c>
      <c r="C1127" s="601" t="str">
        <f>MID(Table3[[#This Row],[Statement Code]],FIND("- ",Table3[[#This Row],[Statement Code]])+2,100)</f>
        <v>DEFERRED TAXES</v>
      </c>
      <c r="D1127" s="602" t="s">
        <v>2520</v>
      </c>
      <c r="E1127" s="601" t="s">
        <v>2456</v>
      </c>
      <c r="F1127" s="601" t="s">
        <v>551</v>
      </c>
      <c r="G1127" s="601">
        <v>-537695</v>
      </c>
      <c r="H1127" s="601">
        <v>-537591</v>
      </c>
      <c r="I1127" s="601">
        <v>-623245</v>
      </c>
      <c r="J1127" s="601">
        <v>-536614</v>
      </c>
      <c r="K1127" s="601">
        <v>-671514</v>
      </c>
      <c r="L1127" s="601" t="s">
        <v>23</v>
      </c>
    </row>
    <row r="1128" spans="1:12" hidden="1">
      <c r="A1128" s="601" t="s">
        <v>2521</v>
      </c>
      <c r="B1128" s="601" t="str">
        <f t="shared" si="17"/>
        <v xml:space="preserve">HERMES </v>
      </c>
      <c r="C1128" s="601" t="str">
        <f>MID(Table3[[#This Row],[Statement Code]],FIND("- ",Table3[[#This Row],[Statement Code]])+2,100)</f>
        <v>DEPRECIATION AND DEPLETION</v>
      </c>
      <c r="D1128" s="602" t="s">
        <v>2522</v>
      </c>
      <c r="E1128" s="601" t="s">
        <v>2456</v>
      </c>
      <c r="F1128" s="601" t="s">
        <v>551</v>
      </c>
      <c r="G1128" s="601">
        <v>495117</v>
      </c>
      <c r="H1128" s="601">
        <v>609816</v>
      </c>
      <c r="I1128" s="601">
        <v>660804</v>
      </c>
      <c r="J1128" s="601">
        <v>525581</v>
      </c>
      <c r="K1128" s="601">
        <v>824179</v>
      </c>
      <c r="L1128" s="601" t="s">
        <v>23</v>
      </c>
    </row>
    <row r="1129" spans="1:12">
      <c r="A1129" s="601" t="s">
        <v>2523</v>
      </c>
      <c r="B1129" s="601" t="str">
        <f t="shared" si="17"/>
        <v xml:space="preserve">HERMES </v>
      </c>
      <c r="C1129" s="601" t="str">
        <f>MID(Table3[[#This Row],[Statement Code]],FIND("- ",Table3[[#This Row],[Statement Code]])+2,100)</f>
        <v>DEPRECIATION/DEPLETION/AMORT</v>
      </c>
      <c r="D1129" s="602" t="s">
        <v>2524</v>
      </c>
      <c r="E1129" s="601" t="s">
        <v>2456</v>
      </c>
      <c r="F1129" s="601" t="s">
        <v>551</v>
      </c>
      <c r="G1129" s="601">
        <v>492795</v>
      </c>
      <c r="H1129" s="601">
        <v>607207</v>
      </c>
      <c r="I1129" s="601">
        <v>658456</v>
      </c>
      <c r="J1129" s="601">
        <v>608831</v>
      </c>
      <c r="K1129" s="601">
        <v>714217</v>
      </c>
      <c r="L1129" s="601" t="s">
        <v>23</v>
      </c>
    </row>
    <row r="1130" spans="1:12" hidden="1">
      <c r="A1130" s="601" t="s">
        <v>2525</v>
      </c>
      <c r="B1130" s="601" t="str">
        <f t="shared" si="17"/>
        <v xml:space="preserve">HERMES </v>
      </c>
      <c r="C1130" s="601" t="str">
        <f>MID(Table3[[#This Row],[Statement Code]],FIND("- ",Table3[[#This Row],[Statement Code]])+2,100)</f>
        <v>DIVIDENDS PER SHARE</v>
      </c>
      <c r="D1130" s="602" t="s">
        <v>2526</v>
      </c>
      <c r="E1130" s="601" t="s">
        <v>2456</v>
      </c>
      <c r="F1130" s="601" t="s">
        <v>551</v>
      </c>
      <c r="G1130" s="601">
        <v>5.032</v>
      </c>
      <c r="H1130" s="601">
        <v>5.3959999999999999</v>
      </c>
      <c r="I1130" s="601">
        <v>9.39</v>
      </c>
      <c r="J1130" s="601">
        <v>13.039</v>
      </c>
      <c r="K1130" s="601">
        <v>26.69</v>
      </c>
      <c r="L1130" s="601" t="s">
        <v>23</v>
      </c>
    </row>
    <row r="1131" spans="1:12" hidden="1">
      <c r="A1131" s="601" t="s">
        <v>2527</v>
      </c>
      <c r="B1131" s="601" t="str">
        <f t="shared" si="17"/>
        <v xml:space="preserve">HERMES </v>
      </c>
      <c r="C1131" s="601" t="str">
        <f>MID(Table3[[#This Row],[Statement Code]],FIND("- ",Table3[[#This Row],[Statement Code]])+2,100)</f>
        <v>DIVIDENDS PER SHARE - FISCAL</v>
      </c>
      <c r="D1131" s="602" t="s">
        <v>2528</v>
      </c>
      <c r="E1131" s="601" t="s">
        <v>2456</v>
      </c>
      <c r="F1131" s="601" t="s">
        <v>551</v>
      </c>
      <c r="G1131" s="601">
        <v>5.032</v>
      </c>
      <c r="H1131" s="601">
        <v>5.3959999999999999</v>
      </c>
      <c r="I1131" s="601">
        <v>9.39</v>
      </c>
      <c r="J1131" s="601">
        <v>13.039</v>
      </c>
      <c r="K1131" s="601">
        <v>26.69</v>
      </c>
      <c r="L1131" s="601" t="s">
        <v>23</v>
      </c>
    </row>
    <row r="1132" spans="1:12">
      <c r="A1132" s="601" t="s">
        <v>2529</v>
      </c>
      <c r="B1132" s="601" t="str">
        <f t="shared" si="17"/>
        <v xml:space="preserve">HERMES </v>
      </c>
      <c r="C1132" s="601" t="str">
        <f>MID(Table3[[#This Row],[Statement Code]],FIND("- ",Table3[[#This Row],[Statement Code]])+2,100)</f>
        <v>EARNINGS BEF INTEREST &amp; TAXES</v>
      </c>
      <c r="D1132" s="602" t="s">
        <v>2530</v>
      </c>
      <c r="E1132" s="601" t="s">
        <v>2456</v>
      </c>
      <c r="F1132" s="601" t="s">
        <v>551</v>
      </c>
      <c r="G1132" s="601">
        <v>2538622</v>
      </c>
      <c r="H1132" s="601">
        <v>2391232</v>
      </c>
      <c r="I1132" s="601">
        <v>4069283</v>
      </c>
      <c r="J1132" s="601">
        <v>4695123</v>
      </c>
      <c r="K1132" s="601">
        <v>6295574</v>
      </c>
      <c r="L1132" s="601" t="s">
        <v>23</v>
      </c>
    </row>
    <row r="1133" spans="1:12" hidden="1">
      <c r="A1133" s="601" t="s">
        <v>2531</v>
      </c>
      <c r="B1133" s="601" t="str">
        <f t="shared" si="17"/>
        <v xml:space="preserve">HERMES </v>
      </c>
      <c r="C1133" s="601" t="str">
        <f>MID(Table3[[#This Row],[Statement Code]],FIND("- ",Table3[[#This Row],[Statement Code]])+2,100)</f>
        <v>EBIT &amp; DEPRECIATION</v>
      </c>
      <c r="D1133" s="602" t="s">
        <v>2532</v>
      </c>
      <c r="E1133" s="601" t="s">
        <v>2456</v>
      </c>
      <c r="F1133" s="601" t="s">
        <v>551</v>
      </c>
      <c r="G1133" s="601">
        <v>3031417</v>
      </c>
      <c r="H1133" s="601">
        <v>2998439</v>
      </c>
      <c r="I1133" s="601">
        <v>4727740</v>
      </c>
      <c r="J1133" s="601">
        <v>5303955</v>
      </c>
      <c r="K1133" s="601">
        <v>7009791</v>
      </c>
      <c r="L1133" s="601" t="s">
        <v>23</v>
      </c>
    </row>
    <row r="1134" spans="1:12" hidden="1">
      <c r="A1134" s="601" t="s">
        <v>2533</v>
      </c>
      <c r="B1134" s="601" t="str">
        <f t="shared" si="17"/>
        <v xml:space="preserve">HERMES </v>
      </c>
      <c r="C1134" s="601" t="str">
        <f>MID(Table3[[#This Row],[Statement Code]],FIND("- ",Table3[[#This Row],[Statement Code]])+2,100)</f>
        <v>EARNINGS PER SHARE</v>
      </c>
      <c r="D1134" s="602" t="s">
        <v>2534</v>
      </c>
      <c r="E1134" s="601" t="s">
        <v>2456</v>
      </c>
      <c r="F1134" s="601" t="s">
        <v>551</v>
      </c>
      <c r="G1134" s="601">
        <v>16.213999999999999</v>
      </c>
      <c r="H1134" s="601">
        <v>15.733000000000001</v>
      </c>
      <c r="I1134" s="601">
        <v>27.428999999999998</v>
      </c>
      <c r="J1134" s="601">
        <v>32.296999999999997</v>
      </c>
      <c r="K1134" s="601">
        <v>43.973999999999997</v>
      </c>
      <c r="L1134" s="601" t="s">
        <v>23</v>
      </c>
    </row>
    <row r="1135" spans="1:12" hidden="1">
      <c r="A1135" s="601" t="s">
        <v>2535</v>
      </c>
      <c r="B1135" s="601" t="str">
        <f t="shared" si="17"/>
        <v xml:space="preserve">HERMES </v>
      </c>
      <c r="C1135" s="601" t="str">
        <f>MID(Table3[[#This Row],[Statement Code]],FIND("- ",Table3[[#This Row],[Statement Code]])+2,100)</f>
        <v>FISCAL EPS-FULLY DILUTED-YR</v>
      </c>
      <c r="D1135" s="602" t="s">
        <v>2536</v>
      </c>
      <c r="E1135" s="601" t="s">
        <v>2456</v>
      </c>
      <c r="F1135" s="601" t="s">
        <v>551</v>
      </c>
      <c r="G1135" s="601">
        <v>16.087</v>
      </c>
      <c r="H1135" s="601">
        <v>15.664</v>
      </c>
      <c r="I1135" s="601">
        <v>27.34</v>
      </c>
      <c r="J1135" s="601">
        <v>32.183</v>
      </c>
      <c r="K1135" s="601">
        <v>43.899000000000001</v>
      </c>
      <c r="L1135" s="601" t="s">
        <v>23</v>
      </c>
    </row>
    <row r="1136" spans="1:12" hidden="1">
      <c r="A1136" s="601" t="s">
        <v>2537</v>
      </c>
      <c r="B1136" s="601" t="str">
        <f t="shared" si="17"/>
        <v xml:space="preserve">HERMES </v>
      </c>
      <c r="C1136" s="601" t="str">
        <f>MID(Table3[[#This Row],[Statement Code]],FIND("- ",Table3[[#This Row],[Statement Code]])+2,100)</f>
        <v>ENTERPRISE VALUE</v>
      </c>
      <c r="D1136" s="602" t="s">
        <v>2538</v>
      </c>
      <c r="E1136" s="601" t="s">
        <v>2456</v>
      </c>
      <c r="F1136" s="601" t="s">
        <v>551</v>
      </c>
      <c r="G1136" s="601">
        <v>73158351</v>
      </c>
      <c r="H1136" s="601">
        <v>105371158</v>
      </c>
      <c r="I1136" s="601">
        <v>182862623</v>
      </c>
      <c r="J1136" s="601">
        <v>145393408</v>
      </c>
      <c r="K1136" s="601">
        <v>204660686</v>
      </c>
      <c r="L1136" s="601" t="s">
        <v>23</v>
      </c>
    </row>
    <row r="1137" spans="1:12">
      <c r="A1137" s="601" t="s">
        <v>2539</v>
      </c>
      <c r="B1137" s="601" t="str">
        <f t="shared" si="17"/>
        <v xml:space="preserve">HERMES </v>
      </c>
      <c r="C1137" s="601" t="str">
        <f>MID(Table3[[#This Row],[Statement Code]],FIND("- ",Table3[[#This Row],[Statement Code]])+2,100)</f>
        <v>GROSS INCOME</v>
      </c>
      <c r="D1137" s="602" t="s">
        <v>2540</v>
      </c>
      <c r="E1137" s="601" t="s">
        <v>2456</v>
      </c>
      <c r="F1137" s="601" t="s">
        <v>551</v>
      </c>
      <c r="G1137" s="601">
        <v>4812489</v>
      </c>
      <c r="H1137" s="601">
        <v>4635170</v>
      </c>
      <c r="I1137" s="601">
        <v>6913204</v>
      </c>
      <c r="J1137" s="601">
        <v>7685117</v>
      </c>
      <c r="K1137" s="601">
        <v>9718265</v>
      </c>
      <c r="L1137" s="601" t="s">
        <v>23</v>
      </c>
    </row>
    <row r="1138" spans="1:12" hidden="1">
      <c r="A1138" s="601" t="s">
        <v>2541</v>
      </c>
      <c r="B1138" s="601" t="str">
        <f t="shared" si="17"/>
        <v xml:space="preserve">HERMES </v>
      </c>
      <c r="C1138" s="601" t="str">
        <f>MID(Table3[[#This Row],[Statement Code]],FIND("- ",Table3[[#This Row],[Statement Code]])+2,100)</f>
        <v>IMPAIRMENT- OTHER INTANGIBLES</v>
      </c>
      <c r="D1138" s="602" t="s">
        <v>2542</v>
      </c>
      <c r="E1138" s="601" t="s">
        <v>2456</v>
      </c>
      <c r="F1138" s="601" t="s">
        <v>551</v>
      </c>
      <c r="G1138" s="601">
        <v>7299</v>
      </c>
      <c r="H1138" s="601">
        <v>2490</v>
      </c>
      <c r="I1138" s="601">
        <v>3521</v>
      </c>
      <c r="J1138" s="601">
        <v>4012</v>
      </c>
      <c r="K1138" s="601" t="s">
        <v>23</v>
      </c>
      <c r="L1138" s="601" t="s">
        <v>23</v>
      </c>
    </row>
    <row r="1139" spans="1:12">
      <c r="A1139" s="601" t="s">
        <v>2543</v>
      </c>
      <c r="B1139" s="601" t="str">
        <f t="shared" si="17"/>
        <v xml:space="preserve">HERMES </v>
      </c>
      <c r="C1139" s="601" t="str">
        <f>MID(Table3[[#This Row],[Statement Code]],FIND("- ",Table3[[#This Row],[Statement Code]])+2,100)</f>
        <v>INCOME TAXES</v>
      </c>
      <c r="D1139" s="602" t="s">
        <v>2544</v>
      </c>
      <c r="E1139" s="601" t="s">
        <v>2456</v>
      </c>
      <c r="F1139" s="601" t="s">
        <v>551</v>
      </c>
      <c r="G1139" s="601">
        <v>830540</v>
      </c>
      <c r="H1139" s="601">
        <v>726988</v>
      </c>
      <c r="I1139" s="601">
        <v>1191325</v>
      </c>
      <c r="J1139" s="601">
        <v>1308937</v>
      </c>
      <c r="K1139" s="601">
        <v>1732697</v>
      </c>
      <c r="L1139" s="601" t="s">
        <v>23</v>
      </c>
    </row>
    <row r="1140" spans="1:12" hidden="1">
      <c r="A1140" s="601" t="s">
        <v>2545</v>
      </c>
      <c r="B1140" s="601" t="str">
        <f t="shared" si="17"/>
        <v xml:space="preserve">HERMES </v>
      </c>
      <c r="C1140" s="601" t="str">
        <f>MID(Table3[[#This Row],[Statement Code]],FIND("- ",Table3[[#This Row],[Statement Code]])+2,100)</f>
        <v>INCREASE/DECREASE IN CASH/SHOR</v>
      </c>
      <c r="D1140" s="602" t="s">
        <v>2546</v>
      </c>
      <c r="E1140" s="601" t="s">
        <v>2456</v>
      </c>
      <c r="F1140" s="601" t="s">
        <v>551</v>
      </c>
      <c r="G1140" s="601">
        <v>1002510</v>
      </c>
      <c r="H1140" s="601">
        <v>409509</v>
      </c>
      <c r="I1140" s="601">
        <v>2321616</v>
      </c>
      <c r="J1140" s="601">
        <v>2535627</v>
      </c>
      <c r="K1140" s="601">
        <v>1496760</v>
      </c>
      <c r="L1140" s="601" t="s">
        <v>23</v>
      </c>
    </row>
    <row r="1141" spans="1:12">
      <c r="A1141" s="601" t="s">
        <v>2547</v>
      </c>
      <c r="B1141" s="601" t="str">
        <f t="shared" si="17"/>
        <v xml:space="preserve">HERMES </v>
      </c>
      <c r="C1141" s="601" t="str">
        <f>MID(Table3[[#This Row],[Statement Code]],FIND("- ",Table3[[#This Row],[Statement Code]])+2,100)</f>
        <v>INTEREST EXPENSE ON DEBT</v>
      </c>
      <c r="D1141" s="602" t="s">
        <v>2548</v>
      </c>
      <c r="E1141" s="601" t="s">
        <v>2456</v>
      </c>
      <c r="F1141" s="601" t="s">
        <v>551</v>
      </c>
      <c r="G1141" s="601">
        <v>27869</v>
      </c>
      <c r="H1141" s="601">
        <v>35460</v>
      </c>
      <c r="I1141" s="601">
        <v>37559</v>
      </c>
      <c r="J1141" s="601">
        <v>46139</v>
      </c>
      <c r="K1141" s="601">
        <v>60853</v>
      </c>
      <c r="L1141" s="601" t="s">
        <v>23</v>
      </c>
    </row>
    <row r="1142" spans="1:12" hidden="1">
      <c r="A1142" s="601" t="s">
        <v>2549</v>
      </c>
      <c r="B1142" s="601" t="str">
        <f t="shared" si="17"/>
        <v xml:space="preserve">HERMES </v>
      </c>
      <c r="C1142" s="601" t="str">
        <f>MID(Table3[[#This Row],[Statement Code]],FIND("- ",Table3[[#This Row],[Statement Code]])+2,100)</f>
        <v>TOTAL INVENTORIES</v>
      </c>
      <c r="D1142" s="602" t="s">
        <v>2550</v>
      </c>
      <c r="E1142" s="601" t="s">
        <v>2456</v>
      </c>
      <c r="F1142" s="601" t="s">
        <v>551</v>
      </c>
      <c r="G1142" s="601">
        <v>1252556</v>
      </c>
      <c r="H1142" s="601">
        <v>1529165</v>
      </c>
      <c r="I1142" s="601">
        <v>1700719</v>
      </c>
      <c r="J1142" s="601">
        <v>1784367</v>
      </c>
      <c r="K1142" s="601">
        <v>2577161</v>
      </c>
      <c r="L1142" s="601" t="s">
        <v>23</v>
      </c>
    </row>
    <row r="1143" spans="1:12">
      <c r="A1143" s="601" t="s">
        <v>2551</v>
      </c>
      <c r="B1143" s="601" t="str">
        <f t="shared" si="17"/>
        <v xml:space="preserve">HERMES </v>
      </c>
      <c r="C1143" s="601" t="str">
        <f>MID(Table3[[#This Row],[Statement Code]],FIND("- ",Table3[[#This Row],[Statement Code]])+2,100)</f>
        <v>LONG TERM DEBT</v>
      </c>
      <c r="D1143" s="602" t="s">
        <v>2552</v>
      </c>
      <c r="E1143" s="601" t="s">
        <v>2456</v>
      </c>
      <c r="F1143" s="601" t="s">
        <v>551</v>
      </c>
      <c r="G1143" s="601">
        <v>1023633</v>
      </c>
      <c r="H1143" s="601">
        <v>1738485</v>
      </c>
      <c r="I1143" s="601">
        <v>1822785</v>
      </c>
      <c r="J1143" s="601">
        <v>1669020</v>
      </c>
      <c r="K1143" s="601">
        <v>1889633</v>
      </c>
      <c r="L1143" s="601" t="s">
        <v>23</v>
      </c>
    </row>
    <row r="1144" spans="1:12" hidden="1">
      <c r="A1144" s="601" t="s">
        <v>2553</v>
      </c>
      <c r="B1144" s="601" t="str">
        <f t="shared" si="17"/>
        <v xml:space="preserve">HERMES </v>
      </c>
      <c r="C1144" s="601" t="str">
        <f>MID(Table3[[#This Row],[Statement Code]],FIND("- ",Table3[[#This Row],[Statement Code]])+2,100)</f>
        <v>MARKET CAPITALIZATION</v>
      </c>
      <c r="D1144" s="602" t="s">
        <v>2554</v>
      </c>
      <c r="E1144" s="601" t="s">
        <v>2456</v>
      </c>
      <c r="F1144" s="601" t="s">
        <v>551</v>
      </c>
      <c r="G1144" s="601">
        <v>76776012</v>
      </c>
      <c r="H1144" s="601">
        <v>109117498</v>
      </c>
      <c r="I1144" s="601">
        <v>188656036</v>
      </c>
      <c r="J1144" s="601">
        <v>152850840</v>
      </c>
      <c r="K1144" s="601">
        <v>214003159</v>
      </c>
      <c r="L1144" s="601" t="s">
        <v>23</v>
      </c>
    </row>
    <row r="1145" spans="1:12" hidden="1">
      <c r="A1145" s="601" t="s">
        <v>2555</v>
      </c>
      <c r="B1145" s="601" t="str">
        <f t="shared" si="17"/>
        <v xml:space="preserve">HERMES </v>
      </c>
      <c r="C1145" s="601" t="str">
        <f>MID(Table3[[#This Row],[Statement Code]],FIND("- ",Table3[[#This Row],[Statement Code]])+2,100)</f>
        <v>NET CASH FLOW - FINANCING</v>
      </c>
      <c r="D1145" s="602" t="s">
        <v>2556</v>
      </c>
      <c r="E1145" s="601" t="s">
        <v>2456</v>
      </c>
      <c r="F1145" s="601" t="s">
        <v>551</v>
      </c>
      <c r="G1145" s="601">
        <v>-821472</v>
      </c>
      <c r="H1145" s="601">
        <v>-960857</v>
      </c>
      <c r="I1145" s="601">
        <v>-1019962</v>
      </c>
      <c r="J1145" s="601">
        <v>-1240732</v>
      </c>
      <c r="K1145" s="601">
        <v>-1915255</v>
      </c>
      <c r="L1145" s="601" t="s">
        <v>23</v>
      </c>
    </row>
    <row r="1146" spans="1:12" hidden="1">
      <c r="A1146" s="601" t="s">
        <v>2557</v>
      </c>
      <c r="B1146" s="601" t="str">
        <f t="shared" si="17"/>
        <v xml:space="preserve">HERMES </v>
      </c>
      <c r="C1146" s="601" t="str">
        <f>MID(Table3[[#This Row],[Statement Code]],FIND("- ",Table3[[#This Row],[Statement Code]])+2,100)</f>
        <v>NET CASH FLOW - INVESTING</v>
      </c>
      <c r="D1146" s="602" t="s">
        <v>2558</v>
      </c>
      <c r="E1146" s="601" t="s">
        <v>2456</v>
      </c>
      <c r="F1146" s="601" t="s">
        <v>551</v>
      </c>
      <c r="G1146" s="601">
        <v>562467</v>
      </c>
      <c r="H1146" s="601">
        <v>537947</v>
      </c>
      <c r="I1146" s="601">
        <v>840383</v>
      </c>
      <c r="J1146" s="601">
        <v>647949</v>
      </c>
      <c r="K1146" s="601">
        <v>1181821</v>
      </c>
      <c r="L1146" s="601" t="s">
        <v>23</v>
      </c>
    </row>
    <row r="1147" spans="1:12" hidden="1">
      <c r="A1147" s="601" t="s">
        <v>2559</v>
      </c>
      <c r="B1147" s="601" t="str">
        <f t="shared" si="17"/>
        <v xml:space="preserve">HERMES </v>
      </c>
      <c r="C1147" s="601" t="str">
        <f>MID(Table3[[#This Row],[Statement Code]],FIND("- ",Table3[[#This Row],[Statement Code]])+2,100)</f>
        <v>NET CASH FLOW-OPERATING ACTIVS</v>
      </c>
      <c r="D1147" s="602" t="s">
        <v>2560</v>
      </c>
      <c r="E1147" s="601" t="s">
        <v>2456</v>
      </c>
      <c r="F1147" s="601" t="s">
        <v>551</v>
      </c>
      <c r="G1147" s="601">
        <v>2349843</v>
      </c>
      <c r="H1147" s="601">
        <v>1973066</v>
      </c>
      <c r="I1147" s="601">
        <v>4052851</v>
      </c>
      <c r="J1147" s="601">
        <v>4264829</v>
      </c>
      <c r="K1147" s="601">
        <v>4741164</v>
      </c>
      <c r="L1147" s="601" t="s">
        <v>23</v>
      </c>
    </row>
    <row r="1148" spans="1:12" hidden="1">
      <c r="A1148" s="601" t="s">
        <v>2561</v>
      </c>
      <c r="B1148" s="601" t="str">
        <f t="shared" si="17"/>
        <v xml:space="preserve">HERMES </v>
      </c>
      <c r="C1148" s="601" t="str">
        <f>MID(Table3[[#This Row],[Statement Code]],FIND("- ",Table3[[#This Row],[Statement Code]])+2,100)</f>
        <v>NET DEBT</v>
      </c>
      <c r="D1148" s="602" t="s">
        <v>2562</v>
      </c>
      <c r="E1148" s="601" t="s">
        <v>2456</v>
      </c>
      <c r="F1148" s="601" t="s">
        <v>551</v>
      </c>
      <c r="G1148" s="601">
        <v>-3626287</v>
      </c>
      <c r="H1148" s="601">
        <v>-3757210</v>
      </c>
      <c r="I1148" s="601">
        <v>-5806387</v>
      </c>
      <c r="J1148" s="601">
        <v>-7473481</v>
      </c>
      <c r="K1148" s="601">
        <v>-9344609</v>
      </c>
      <c r="L1148" s="601" t="s">
        <v>23</v>
      </c>
    </row>
    <row r="1149" spans="1:12">
      <c r="A1149" s="601" t="s">
        <v>2563</v>
      </c>
      <c r="B1149" s="601" t="str">
        <f t="shared" si="17"/>
        <v xml:space="preserve">HERMES </v>
      </c>
      <c r="C1149" s="601" t="str">
        <f>MID(Table3[[#This Row],[Statement Code]],FIND("- ",Table3[[#This Row],[Statement Code]])+2,100)</f>
        <v>NET INCOME - DILUTED</v>
      </c>
      <c r="D1149" s="602" t="s">
        <v>2564</v>
      </c>
      <c r="E1149" s="601" t="s">
        <v>2456</v>
      </c>
      <c r="F1149" s="601" t="s">
        <v>551</v>
      </c>
      <c r="G1149" s="601">
        <v>1690055</v>
      </c>
      <c r="H1149" s="601">
        <v>1643016</v>
      </c>
      <c r="I1149" s="601">
        <v>2869743</v>
      </c>
      <c r="J1149" s="601">
        <v>3377159</v>
      </c>
      <c r="K1149" s="601">
        <v>4602377</v>
      </c>
      <c r="L1149" s="601" t="s">
        <v>23</v>
      </c>
    </row>
    <row r="1150" spans="1:12">
      <c r="A1150" s="601" t="s">
        <v>2565</v>
      </c>
      <c r="B1150" s="601" t="str">
        <f t="shared" si="17"/>
        <v xml:space="preserve">HERMES </v>
      </c>
      <c r="C1150" s="601" t="str">
        <f>MID(Table3[[#This Row],[Statement Code]],FIND("- ",Table3[[#This Row],[Statement Code]])+2,100)</f>
        <v>NET SALES OR REVENUES</v>
      </c>
      <c r="D1150" s="602" t="s">
        <v>2566</v>
      </c>
      <c r="E1150" s="601" t="s">
        <v>2456</v>
      </c>
      <c r="F1150" s="601" t="s">
        <v>551</v>
      </c>
      <c r="G1150" s="601">
        <v>7612438</v>
      </c>
      <c r="H1150" s="601">
        <v>7577513</v>
      </c>
      <c r="I1150" s="601">
        <v>10542343</v>
      </c>
      <c r="J1150" s="601">
        <v>11637005</v>
      </c>
      <c r="K1150" s="601">
        <v>14334521</v>
      </c>
      <c r="L1150" s="601" t="s">
        <v>23</v>
      </c>
    </row>
    <row r="1151" spans="1:12" hidden="1">
      <c r="A1151" s="601" t="s">
        <v>2567</v>
      </c>
      <c r="B1151" s="601" t="str">
        <f t="shared" si="17"/>
        <v xml:space="preserve">HERMES </v>
      </c>
      <c r="C1151" s="601" t="str">
        <f>MID(Table3[[#This Row],[Statement Code]],FIND("- ",Table3[[#This Row],[Statement Code]])+2,100)</f>
        <v>NON-OPERATING INTEREST INCOME</v>
      </c>
      <c r="D1151" s="602" t="s">
        <v>2568</v>
      </c>
      <c r="E1151" s="601" t="s">
        <v>2456</v>
      </c>
      <c r="F1151" s="601" t="s">
        <v>551</v>
      </c>
      <c r="G1151" s="601">
        <v>21012</v>
      </c>
      <c r="H1151" s="601">
        <v>12571</v>
      </c>
      <c r="I1151" s="601">
        <v>14085</v>
      </c>
      <c r="J1151" s="601">
        <v>67202</v>
      </c>
      <c r="K1151" s="601">
        <v>354440</v>
      </c>
      <c r="L1151" s="601" t="s">
        <v>23</v>
      </c>
    </row>
    <row r="1152" spans="1:12" hidden="1">
      <c r="A1152" s="601" t="s">
        <v>2569</v>
      </c>
      <c r="B1152" s="601" t="str">
        <f t="shared" si="17"/>
        <v xml:space="preserve">HERMES </v>
      </c>
      <c r="C1152" s="601" t="str">
        <f>MID(Table3[[#This Row],[Statement Code]],FIND("- ",Table3[[#This Row],[Statement Code]])+2,100)</f>
        <v>OPERATING EXPENSES - TOTAL</v>
      </c>
      <c r="D1152" s="602" t="s">
        <v>2570</v>
      </c>
      <c r="E1152" s="601" t="s">
        <v>2456</v>
      </c>
      <c r="F1152" s="601" t="s">
        <v>551</v>
      </c>
      <c r="G1152" s="601">
        <v>5020953</v>
      </c>
      <c r="H1152" s="601">
        <v>5225654</v>
      </c>
      <c r="I1152" s="601">
        <v>6355688</v>
      </c>
      <c r="J1152" s="601">
        <v>6851610</v>
      </c>
      <c r="K1152" s="601">
        <v>8200153</v>
      </c>
      <c r="L1152" s="601" t="s">
        <v>23</v>
      </c>
    </row>
    <row r="1153" spans="1:12">
      <c r="A1153" s="601" t="s">
        <v>2571</v>
      </c>
      <c r="B1153" s="601" t="str">
        <f t="shared" si="17"/>
        <v xml:space="preserve">HERMES </v>
      </c>
      <c r="C1153" s="601" t="str">
        <f>MID(Table3[[#This Row],[Statement Code]],FIND("- ",Table3[[#This Row],[Statement Code]])+2,100)</f>
        <v>OPERATING INCOME</v>
      </c>
      <c r="D1153" s="602" t="s">
        <v>2572</v>
      </c>
      <c r="E1153" s="601" t="s">
        <v>2456</v>
      </c>
      <c r="F1153" s="601" t="s">
        <v>551</v>
      </c>
      <c r="G1153" s="601">
        <v>2591485</v>
      </c>
      <c r="H1153" s="601">
        <v>2351859</v>
      </c>
      <c r="I1153" s="601">
        <v>4186655</v>
      </c>
      <c r="J1153" s="601">
        <v>4785395</v>
      </c>
      <c r="K1153" s="601">
        <v>6134368</v>
      </c>
      <c r="L1153" s="601" t="s">
        <v>23</v>
      </c>
    </row>
    <row r="1154" spans="1:12" hidden="1">
      <c r="A1154" s="601" t="s">
        <v>2573</v>
      </c>
      <c r="B1154" s="601" t="str">
        <f t="shared" si="17"/>
        <v xml:space="preserve">HERMES </v>
      </c>
      <c r="C1154" s="601" t="str">
        <f>MID(Table3[[#This Row],[Statement Code]],FIND("- ",Table3[[#This Row],[Statement Code]])+2,100)</f>
        <v>PRETAX INCOME</v>
      </c>
      <c r="D1154" s="602" t="s">
        <v>2574</v>
      </c>
      <c r="E1154" s="601" t="s">
        <v>2456</v>
      </c>
      <c r="F1154" s="601" t="s">
        <v>551</v>
      </c>
      <c r="G1154" s="601">
        <v>2510753</v>
      </c>
      <c r="H1154" s="601">
        <v>2355772</v>
      </c>
      <c r="I1154" s="601">
        <v>4031724</v>
      </c>
      <c r="J1154" s="601">
        <v>4648984</v>
      </c>
      <c r="K1154" s="601">
        <v>6234721</v>
      </c>
      <c r="L1154" s="601" t="s">
        <v>23</v>
      </c>
    </row>
    <row r="1155" spans="1:12" hidden="1">
      <c r="A1155" s="601" t="s">
        <v>2575</v>
      </c>
      <c r="B1155" s="601" t="str">
        <f t="shared" ref="B1155:B1218" si="18">LEFT(A1155,FIND(" ",A1155))</f>
        <v xml:space="preserve">HERMES </v>
      </c>
      <c r="C1155" s="601" t="str">
        <f>MID(Table3[[#This Row],[Statement Code]],FIND("- ",Table3[[#This Row],[Statement Code]])+2,100)</f>
        <v>PROPERTY, PLANT &amp; EQUIP - NET</v>
      </c>
      <c r="D1155" s="602" t="s">
        <v>2576</v>
      </c>
      <c r="E1155" s="601" t="s">
        <v>2456</v>
      </c>
      <c r="F1155" s="601" t="s">
        <v>551</v>
      </c>
      <c r="G1155" s="601">
        <v>2760468</v>
      </c>
      <c r="H1155" s="601">
        <v>3667197</v>
      </c>
      <c r="I1155" s="601">
        <v>3988297</v>
      </c>
      <c r="J1155" s="601">
        <v>3599828</v>
      </c>
      <c r="K1155" s="601">
        <v>4330142</v>
      </c>
      <c r="L1155" s="601" t="s">
        <v>23</v>
      </c>
    </row>
    <row r="1156" spans="1:12" hidden="1">
      <c r="A1156" s="601" t="s">
        <v>2577</v>
      </c>
      <c r="B1156" s="601" t="str">
        <f t="shared" si="18"/>
        <v xml:space="preserve">HERMES </v>
      </c>
      <c r="C1156" s="601" t="str">
        <f>MID(Table3[[#This Row],[Statement Code]],FIND("- ",Table3[[#This Row],[Statement Code]])+2,100)</f>
        <v>RECEIVABLES(NET)</v>
      </c>
      <c r="D1156" s="602" t="s">
        <v>2578</v>
      </c>
      <c r="E1156" s="601" t="s">
        <v>2456</v>
      </c>
      <c r="F1156" s="601" t="s">
        <v>551</v>
      </c>
      <c r="G1156" s="601">
        <v>594096</v>
      </c>
      <c r="H1156" s="601">
        <v>600447</v>
      </c>
      <c r="I1156" s="601">
        <v>760570</v>
      </c>
      <c r="J1156" s="601">
        <v>667006</v>
      </c>
      <c r="K1156" s="601">
        <v>834855</v>
      </c>
      <c r="L1156" s="601" t="s">
        <v>23</v>
      </c>
    </row>
    <row r="1157" spans="1:12">
      <c r="A1157" s="601" t="s">
        <v>2579</v>
      </c>
      <c r="B1157" s="601" t="str">
        <f t="shared" si="18"/>
        <v xml:space="preserve">HERMES </v>
      </c>
      <c r="C1157" s="601" t="str">
        <f>MID(Table3[[#This Row],[Statement Code]],FIND("- ",Table3[[#This Row],[Statement Code]])+2,100)</f>
        <v>SELLING, GENERAL &amp; ADMINISTRAT</v>
      </c>
      <c r="D1157" s="602" t="s">
        <v>2580</v>
      </c>
      <c r="E1157" s="601" t="s">
        <v>2456</v>
      </c>
      <c r="F1157" s="601" t="s">
        <v>551</v>
      </c>
      <c r="G1157" s="601">
        <v>2174998</v>
      </c>
      <c r="H1157" s="601">
        <v>2174915</v>
      </c>
      <c r="I1157" s="601">
        <v>2672558</v>
      </c>
      <c r="J1157" s="601">
        <v>2769330</v>
      </c>
      <c r="K1157" s="601">
        <v>3562545</v>
      </c>
      <c r="L1157" s="601" t="s">
        <v>23</v>
      </c>
    </row>
    <row r="1158" spans="1:12" hidden="1">
      <c r="A1158" s="601" t="s">
        <v>2581</v>
      </c>
      <c r="B1158" s="601" t="str">
        <f t="shared" si="18"/>
        <v xml:space="preserve">HERMES </v>
      </c>
      <c r="C1158" s="601" t="str">
        <f>MID(Table3[[#This Row],[Statement Code]],FIND("- ",Table3[[#This Row],[Statement Code]])+2,100)</f>
        <v>SHORT TERM DEBT &amp; CURRENT PORT</v>
      </c>
      <c r="D1158" s="602" t="s">
        <v>2582</v>
      </c>
      <c r="E1158" s="601" t="s">
        <v>2456</v>
      </c>
      <c r="F1158" s="601" t="s">
        <v>551</v>
      </c>
      <c r="G1158" s="601">
        <v>238988</v>
      </c>
      <c r="H1158" s="601">
        <v>261028</v>
      </c>
      <c r="I1158" s="601">
        <v>292256</v>
      </c>
      <c r="J1158" s="601">
        <v>270815</v>
      </c>
      <c r="K1158" s="601">
        <v>309601</v>
      </c>
      <c r="L1158" s="601" t="s">
        <v>23</v>
      </c>
    </row>
    <row r="1159" spans="1:12">
      <c r="A1159" s="601" t="s">
        <v>2583</v>
      </c>
      <c r="B1159" s="601" t="str">
        <f t="shared" si="18"/>
        <v xml:space="preserve">HERMES </v>
      </c>
      <c r="C1159" s="601" t="str">
        <f>MID(Table3[[#This Row],[Statement Code]],FIND("- ",Table3[[#This Row],[Statement Code]])+2,100)</f>
        <v>TOTAL ASSETS</v>
      </c>
      <c r="D1159" s="602" t="s">
        <v>2584</v>
      </c>
      <c r="E1159" s="601" t="s">
        <v>2456</v>
      </c>
      <c r="F1159" s="601" t="s">
        <v>551</v>
      </c>
      <c r="G1159" s="601">
        <v>10362732</v>
      </c>
      <c r="H1159" s="601">
        <v>12541784</v>
      </c>
      <c r="I1159" s="601">
        <v>15611635</v>
      </c>
      <c r="J1159" s="601">
        <v>16955001</v>
      </c>
      <c r="K1159" s="601">
        <v>21155349</v>
      </c>
      <c r="L1159" s="601" t="s">
        <v>23</v>
      </c>
    </row>
    <row r="1160" spans="1:12" hidden="1">
      <c r="A1160" s="601" t="s">
        <v>2585</v>
      </c>
      <c r="B1160" s="601" t="str">
        <f t="shared" si="18"/>
        <v xml:space="preserve">HERMES </v>
      </c>
      <c r="C1160" s="601" t="str">
        <f>MID(Table3[[#This Row],[Statement Code]],FIND("- ",Table3[[#This Row],[Statement Code]])+2,100)</f>
        <v>TOTAL CAPITAL</v>
      </c>
      <c r="D1160" s="602" t="s">
        <v>2586</v>
      </c>
      <c r="E1160" s="601" t="s">
        <v>2456</v>
      </c>
      <c r="F1160" s="601" t="s">
        <v>551</v>
      </c>
      <c r="G1160" s="601">
        <v>8296003</v>
      </c>
      <c r="H1160" s="601">
        <v>10503846</v>
      </c>
      <c r="I1160" s="601">
        <v>12869827</v>
      </c>
      <c r="J1160" s="601">
        <v>14163605</v>
      </c>
      <c r="K1160" s="601">
        <v>18120193</v>
      </c>
      <c r="L1160" s="601" t="s">
        <v>23</v>
      </c>
    </row>
    <row r="1161" spans="1:12">
      <c r="A1161" s="601" t="s">
        <v>2587</v>
      </c>
      <c r="B1161" s="601" t="str">
        <f t="shared" si="18"/>
        <v xml:space="preserve">HERMES </v>
      </c>
      <c r="C1161" s="601" t="str">
        <f>MID(Table3[[#This Row],[Statement Code]],FIND("- ",Table3[[#This Row],[Statement Code]])+2,100)</f>
        <v>TOTAL DEBT</v>
      </c>
      <c r="D1161" s="602" t="s">
        <v>2588</v>
      </c>
      <c r="E1161" s="601" t="s">
        <v>2456</v>
      </c>
      <c r="F1161" s="601" t="s">
        <v>551</v>
      </c>
      <c r="G1161" s="601">
        <v>1262620</v>
      </c>
      <c r="H1161" s="601">
        <v>1999513</v>
      </c>
      <c r="I1161" s="601">
        <v>2115041</v>
      </c>
      <c r="J1161" s="601">
        <v>1939835</v>
      </c>
      <c r="K1161" s="601">
        <v>2199234</v>
      </c>
      <c r="L1161" s="601" t="s">
        <v>23</v>
      </c>
    </row>
    <row r="1162" spans="1:12" hidden="1">
      <c r="A1162" s="601" t="s">
        <v>2589</v>
      </c>
      <c r="B1162" s="601" t="str">
        <f t="shared" si="18"/>
        <v xml:space="preserve">HERMES </v>
      </c>
      <c r="C1162" s="601" t="str">
        <f>MID(Table3[[#This Row],[Statement Code]],FIND("- ",Table3[[#This Row],[Statement Code]])+2,100)</f>
        <v>TOTAL INTANGIBLE OT ASSETS-NET</v>
      </c>
      <c r="D1162" s="602" t="s">
        <v>2590</v>
      </c>
      <c r="E1162" s="601" t="s">
        <v>2456</v>
      </c>
      <c r="F1162" s="601" t="s">
        <v>551</v>
      </c>
      <c r="G1162" s="601">
        <v>221514</v>
      </c>
      <c r="H1162" s="601">
        <v>312735</v>
      </c>
      <c r="I1162" s="601">
        <v>352116</v>
      </c>
      <c r="J1162" s="601">
        <v>213643</v>
      </c>
      <c r="K1162" s="601">
        <v>317074</v>
      </c>
      <c r="L1162" s="601" t="s">
        <v>23</v>
      </c>
    </row>
    <row r="1163" spans="1:12">
      <c r="A1163" s="601" t="s">
        <v>2591</v>
      </c>
      <c r="B1163" s="601" t="str">
        <f t="shared" si="18"/>
        <v xml:space="preserve">HERMES </v>
      </c>
      <c r="C1163" s="601" t="str">
        <f>MID(Table3[[#This Row],[Statement Code]],FIND("- ",Table3[[#This Row],[Statement Code]])+2,100)</f>
        <v>TOTAL LIABILITIES</v>
      </c>
      <c r="D1163" s="602" t="s">
        <v>2592</v>
      </c>
      <c r="E1163" s="601" t="s">
        <v>2456</v>
      </c>
      <c r="F1163" s="601" t="s">
        <v>551</v>
      </c>
      <c r="G1163" s="601">
        <v>3090362</v>
      </c>
      <c r="H1163" s="601">
        <v>3776423</v>
      </c>
      <c r="I1163" s="601">
        <v>4564593</v>
      </c>
      <c r="J1163" s="601">
        <v>4460417</v>
      </c>
      <c r="K1163" s="601">
        <v>4924789</v>
      </c>
      <c r="L1163" s="601" t="s">
        <v>23</v>
      </c>
    </row>
    <row r="1164" spans="1:12" hidden="1">
      <c r="A1164" s="601" t="s">
        <v>2593</v>
      </c>
      <c r="B1164" s="601" t="str">
        <f t="shared" si="18"/>
        <v xml:space="preserve">HERMES </v>
      </c>
      <c r="C1164" s="601" t="str">
        <f>MID(Table3[[#This Row],[Statement Code]],FIND("- ",Table3[[#This Row],[Statement Code]])+2,100)</f>
        <v>TOTAL LIABILITIES &amp; SHAREHOLDE</v>
      </c>
      <c r="D1164" s="602" t="s">
        <v>2594</v>
      </c>
      <c r="E1164" s="601" t="s">
        <v>2456</v>
      </c>
      <c r="F1164" s="601" t="s">
        <v>551</v>
      </c>
      <c r="G1164" s="601">
        <v>10362732</v>
      </c>
      <c r="H1164" s="601">
        <v>12541784</v>
      </c>
      <c r="I1164" s="601">
        <v>15611635</v>
      </c>
      <c r="J1164" s="601">
        <v>16955001</v>
      </c>
      <c r="K1164" s="601">
        <v>21155349</v>
      </c>
      <c r="L1164" s="601" t="s">
        <v>23</v>
      </c>
    </row>
    <row r="1165" spans="1:12" hidden="1">
      <c r="A1165" s="601" t="s">
        <v>2595</v>
      </c>
      <c r="B1165" s="601" t="str">
        <f t="shared" si="18"/>
        <v xml:space="preserve">HERMES </v>
      </c>
      <c r="C1165" s="601" t="str">
        <f>MID(Table3[[#This Row],[Statement Code]],FIND("- ",Table3[[#This Row],[Statement Code]])+2,100)</f>
        <v>TOTAL SHAREHOLDERS EQUITY</v>
      </c>
      <c r="D1165" s="602" t="s">
        <v>2596</v>
      </c>
      <c r="E1165" s="601" t="s">
        <v>2456</v>
      </c>
      <c r="F1165" s="601" t="s">
        <v>551</v>
      </c>
      <c r="G1165" s="601">
        <v>7263744</v>
      </c>
      <c r="H1165" s="601">
        <v>8752434</v>
      </c>
      <c r="I1165" s="601">
        <v>11032957</v>
      </c>
      <c r="J1165" s="601">
        <v>12478536</v>
      </c>
      <c r="K1165" s="601">
        <v>16228425</v>
      </c>
      <c r="L1165" s="601" t="s">
        <v>23</v>
      </c>
    </row>
    <row r="1166" spans="1:12" hidden="1">
      <c r="A1166" s="601" t="s">
        <v>2597</v>
      </c>
      <c r="B1166" s="601" t="str">
        <f t="shared" si="18"/>
        <v xml:space="preserve">HERMES </v>
      </c>
      <c r="C1166" s="601" t="str">
        <f>MID(Table3[[#This Row],[Statement Code]],FIND("- ",Table3[[#This Row],[Statement Code]])+2,100)</f>
        <v>WORKING CAPITAL</v>
      </c>
      <c r="D1166" s="602" t="s">
        <v>2598</v>
      </c>
      <c r="E1166" s="601" t="s">
        <v>2456</v>
      </c>
      <c r="F1166" s="601" t="s">
        <v>551</v>
      </c>
      <c r="G1166" s="601">
        <v>4497636</v>
      </c>
      <c r="H1166" s="601">
        <v>5705727</v>
      </c>
      <c r="I1166" s="601">
        <v>7359217</v>
      </c>
      <c r="J1166" s="601">
        <v>8850623</v>
      </c>
      <c r="K1166" s="601">
        <v>11556654</v>
      </c>
      <c r="L1166" s="601" t="s">
        <v>23</v>
      </c>
    </row>
    <row r="1167" spans="1:12" hidden="1">
      <c r="A1167" s="601" t="s">
        <v>2599</v>
      </c>
      <c r="B1167" s="601" t="str">
        <f t="shared" si="18"/>
        <v xml:space="preserve">HERMES </v>
      </c>
      <c r="C1167" s="601" t="str">
        <f>MID(Table3[[#This Row],[Statement Code]],FIND("- ",Table3[[#This Row],[Statement Code]])+2,100)</f>
        <v>BK VAL PS 12M FWD</v>
      </c>
      <c r="D1167" s="602" t="s">
        <v>2600</v>
      </c>
      <c r="E1167" s="601" t="s">
        <v>2456</v>
      </c>
      <c r="F1167" s="601" t="s">
        <v>551</v>
      </c>
      <c r="G1167" s="601">
        <v>77.95</v>
      </c>
      <c r="H1167" s="601">
        <v>92.35</v>
      </c>
      <c r="I1167" s="601">
        <v>115.93</v>
      </c>
      <c r="J1167" s="601">
        <v>126.25</v>
      </c>
      <c r="K1167" s="601">
        <v>175.31</v>
      </c>
      <c r="L1167" s="601">
        <v>204.64</v>
      </c>
    </row>
    <row r="1168" spans="1:12" hidden="1">
      <c r="A1168" s="601" t="s">
        <v>2601</v>
      </c>
      <c r="B1168" s="601" t="str">
        <f t="shared" si="18"/>
        <v xml:space="preserve">HERMES </v>
      </c>
      <c r="C1168" s="601" t="str">
        <f>MID(Table3[[#This Row],[Statement Code]],FIND("- ",Table3[[#This Row],[Statement Code]])+2,100)</f>
        <v>EV 12M FWD</v>
      </c>
      <c r="D1168" s="602" t="s">
        <v>2602</v>
      </c>
      <c r="E1168" s="601" t="s">
        <v>2456</v>
      </c>
      <c r="F1168" s="601" t="s">
        <v>551</v>
      </c>
      <c r="G1168" s="601">
        <v>67586400.239999995</v>
      </c>
      <c r="H1168" s="601">
        <v>86026185.129999995</v>
      </c>
      <c r="I1168" s="601">
        <v>148055901.5</v>
      </c>
      <c r="J1168" s="601">
        <v>128098509.7</v>
      </c>
      <c r="K1168" s="601">
        <v>200089582.09999999</v>
      </c>
      <c r="L1168" s="601">
        <v>216978589.19999999</v>
      </c>
    </row>
    <row r="1169" spans="1:12" hidden="1">
      <c r="A1169" s="601" t="s">
        <v>2603</v>
      </c>
      <c r="B1169" s="601" t="str">
        <f t="shared" si="18"/>
        <v xml:space="preserve">HERMES </v>
      </c>
      <c r="C1169" s="601" t="str">
        <f>MID(Table3[[#This Row],[Statement Code]],FIND("- ",Table3[[#This Row],[Statement Code]])+2,100)</f>
        <v>NET INCOME 12M FWD</v>
      </c>
      <c r="D1169" s="602" t="s">
        <v>2604</v>
      </c>
      <c r="E1169" s="601" t="s">
        <v>2456</v>
      </c>
      <c r="F1169" s="601" t="s">
        <v>551</v>
      </c>
      <c r="G1169" s="601">
        <v>1778277.44</v>
      </c>
      <c r="H1169" s="601">
        <v>1738965.38</v>
      </c>
      <c r="I1169" s="601">
        <v>2812165.83</v>
      </c>
      <c r="J1169" s="601">
        <v>3217676.91</v>
      </c>
      <c r="K1169" s="601">
        <v>4734737.12</v>
      </c>
      <c r="L1169" s="601">
        <v>5478297.8600000003</v>
      </c>
    </row>
    <row r="1170" spans="1:12" hidden="1">
      <c r="A1170" s="601" t="s">
        <v>2605</v>
      </c>
      <c r="B1170" s="601" t="str">
        <f t="shared" si="18"/>
        <v xml:space="preserve">HERMES </v>
      </c>
      <c r="C1170" s="601" t="str">
        <f>MID(Table3[[#This Row],[Statement Code]],FIND("- ",Table3[[#This Row],[Statement Code]])+2,100)</f>
        <v>PRETAX PRF 12M FWD</v>
      </c>
      <c r="D1170" s="602" t="s">
        <v>2606</v>
      </c>
      <c r="E1170" s="601" t="s">
        <v>2456</v>
      </c>
      <c r="F1170" s="601" t="s">
        <v>551</v>
      </c>
      <c r="G1170" s="601">
        <v>2629066.98</v>
      </c>
      <c r="H1170" s="601">
        <v>2566406.71</v>
      </c>
      <c r="I1170" s="601">
        <v>3953924.32</v>
      </c>
      <c r="J1170" s="601">
        <v>4558478.09</v>
      </c>
      <c r="K1170" s="601">
        <v>6567205.0199999996</v>
      </c>
      <c r="L1170" s="601">
        <v>7587495.3300000001</v>
      </c>
    </row>
    <row r="1171" spans="1:12" hidden="1">
      <c r="A1171" s="601" t="s">
        <v>2607</v>
      </c>
      <c r="B1171" s="601" t="str">
        <f t="shared" si="18"/>
        <v xml:space="preserve">HERMES </v>
      </c>
      <c r="C1171" s="601" t="str">
        <f>MID(Table3[[#This Row],[Statement Code]],FIND("- ",Table3[[#This Row],[Statement Code]])+2,100)</f>
        <v>ROE 12M FWD</v>
      </c>
      <c r="D1171" s="602" t="s">
        <v>2608</v>
      </c>
      <c r="E1171" s="601" t="s">
        <v>2456</v>
      </c>
      <c r="F1171" s="601" t="s">
        <v>551</v>
      </c>
      <c r="G1171" s="601">
        <v>26.45</v>
      </c>
      <c r="H1171" s="601">
        <v>23.01</v>
      </c>
      <c r="I1171" s="601">
        <v>29.13</v>
      </c>
      <c r="J1171" s="601">
        <v>26.37</v>
      </c>
      <c r="K1171" s="601">
        <v>29.67</v>
      </c>
      <c r="L1171" s="601">
        <v>30.39</v>
      </c>
    </row>
    <row r="1172" spans="1:12" hidden="1">
      <c r="A1172" s="601" t="s">
        <v>2609</v>
      </c>
      <c r="B1172" s="601" t="str">
        <f t="shared" si="18"/>
        <v xml:space="preserve">HERMES </v>
      </c>
      <c r="C1172" s="601" t="str">
        <f>MID(Table3[[#This Row],[Statement Code]],FIND("- ",Table3[[#This Row],[Statement Code]])+2,100)</f>
        <v>SALES 12M FWD</v>
      </c>
      <c r="D1172" s="602" t="s">
        <v>2610</v>
      </c>
      <c r="E1172" s="601" t="s">
        <v>2456</v>
      </c>
      <c r="F1172" s="601" t="s">
        <v>551</v>
      </c>
      <c r="G1172" s="601">
        <v>7816611.6600000001</v>
      </c>
      <c r="H1172" s="601">
        <v>8178857.71</v>
      </c>
      <c r="I1172" s="601">
        <v>11078525.73</v>
      </c>
      <c r="J1172" s="601">
        <v>11804625.810000001</v>
      </c>
      <c r="K1172" s="601">
        <v>15729914.960000001</v>
      </c>
      <c r="L1172" s="601">
        <v>17906868.329999998</v>
      </c>
    </row>
    <row r="1173" spans="1:12" hidden="1">
      <c r="A1173" s="601" t="s">
        <v>2611</v>
      </c>
      <c r="B1173" s="601" t="str">
        <f t="shared" si="18"/>
        <v xml:space="preserve">HERMES </v>
      </c>
      <c r="C1173" s="601" t="str">
        <f>MID(Table3[[#This Row],[Statement Code]],FIND("- ",Table3[[#This Row],[Statement Code]])+2,100)</f>
        <v>DECREASE/INCREASE RECEIVABLES</v>
      </c>
      <c r="D1173" s="602" t="s">
        <v>2612</v>
      </c>
      <c r="E1173" s="601" t="s">
        <v>2456</v>
      </c>
      <c r="F1173" s="601" t="s">
        <v>551</v>
      </c>
      <c r="G1173" s="601">
        <v>-15372</v>
      </c>
      <c r="H1173" s="601">
        <v>45541</v>
      </c>
      <c r="I1173" s="601">
        <v>-35212</v>
      </c>
      <c r="J1173" s="601">
        <v>-54163</v>
      </c>
      <c r="K1173" s="601">
        <v>-130246</v>
      </c>
      <c r="L1173" s="601" t="s">
        <v>23</v>
      </c>
    </row>
    <row r="1174" spans="1:12" hidden="1">
      <c r="A1174" s="601" t="s">
        <v>2613</v>
      </c>
      <c r="B1174" s="601" t="str">
        <f t="shared" si="18"/>
        <v xml:space="preserve">HERMES </v>
      </c>
      <c r="C1174" s="601" t="str">
        <f>MID(Table3[[#This Row],[Statement Code]],FIND("- ",Table3[[#This Row],[Statement Code]])+2,100)</f>
        <v>DECREASE/INCR OTH ASTS/LIABILT</v>
      </c>
      <c r="D1174" s="602" t="s">
        <v>2614</v>
      </c>
      <c r="E1174" s="601" t="s">
        <v>2456</v>
      </c>
      <c r="F1174" s="601" t="s">
        <v>551</v>
      </c>
      <c r="G1174" s="601">
        <v>236112</v>
      </c>
      <c r="H1174" s="601">
        <v>-245610</v>
      </c>
      <c r="I1174" s="601">
        <v>494136</v>
      </c>
      <c r="J1174" s="601">
        <v>248748</v>
      </c>
      <c r="K1174" s="601">
        <v>-56582</v>
      </c>
      <c r="L1174" s="601" t="s">
        <v>23</v>
      </c>
    </row>
    <row r="1175" spans="1:12" hidden="1">
      <c r="A1175" s="601" t="s">
        <v>2615</v>
      </c>
      <c r="B1175" s="601" t="str">
        <f t="shared" si="18"/>
        <v xml:space="preserve">HERMES </v>
      </c>
      <c r="C1175" s="601" t="str">
        <f>MID(Table3[[#This Row],[Statement Code]],FIND("- ",Table3[[#This Row],[Statement Code]])+2,100)</f>
        <v>DECREASE/INCREASE INVENTORIES</v>
      </c>
      <c r="D1175" s="602" t="s">
        <v>2616</v>
      </c>
      <c r="E1175" s="601" t="s">
        <v>2456</v>
      </c>
      <c r="F1175" s="601" t="s">
        <v>551</v>
      </c>
      <c r="G1175" s="601">
        <v>-176504</v>
      </c>
      <c r="H1175" s="601">
        <v>-187262</v>
      </c>
      <c r="I1175" s="601">
        <v>-136151</v>
      </c>
      <c r="J1175" s="601">
        <v>-324978</v>
      </c>
      <c r="K1175" s="601">
        <v>-706744</v>
      </c>
      <c r="L1175" s="601" t="s">
        <v>23</v>
      </c>
    </row>
    <row r="1176" spans="1:12" hidden="1">
      <c r="A1176" s="601" t="s">
        <v>2617</v>
      </c>
      <c r="B1176" s="601" t="str">
        <f t="shared" si="18"/>
        <v xml:space="preserve">HERMES </v>
      </c>
      <c r="C1176" s="601" t="str">
        <f>MID(Table3[[#This Row],[Statement Code]],FIND("- ",Table3[[#This Row],[Statement Code]])+2,100)</f>
        <v>DECREASE IN INVESTMENTS</v>
      </c>
      <c r="D1176" s="602" t="s">
        <v>2618</v>
      </c>
      <c r="E1176" s="601" t="s">
        <v>2456</v>
      </c>
      <c r="F1176" s="601" t="s">
        <v>551</v>
      </c>
      <c r="G1176" s="601">
        <v>38707</v>
      </c>
      <c r="H1176" s="601">
        <v>108396</v>
      </c>
      <c r="I1176" s="601">
        <v>7042</v>
      </c>
      <c r="J1176" s="601">
        <v>5015</v>
      </c>
      <c r="K1176" s="601">
        <v>0</v>
      </c>
      <c r="L1176" s="601" t="s">
        <v>23</v>
      </c>
    </row>
    <row r="1177" spans="1:12" hidden="1">
      <c r="A1177" s="601" t="s">
        <v>2619</v>
      </c>
      <c r="B1177" s="601" t="str">
        <f t="shared" si="18"/>
        <v xml:space="preserve">CHRISTIAN </v>
      </c>
      <c r="C1177" s="601" t="str">
        <f>MID(Table3[[#This Row],[Statement Code]],FIND("- ",Table3[[#This Row],[Statement Code]])+2,100)</f>
        <v>MARKET VALUE</v>
      </c>
      <c r="D1177" s="602" t="s">
        <v>2620</v>
      </c>
      <c r="E1177" s="601" t="s">
        <v>2621</v>
      </c>
      <c r="F1177" s="601" t="s">
        <v>551</v>
      </c>
      <c r="G1177" s="601">
        <v>86238.43</v>
      </c>
      <c r="H1177" s="601">
        <v>81262.3</v>
      </c>
      <c r="I1177" s="601">
        <v>134958.38</v>
      </c>
      <c r="J1177" s="601">
        <v>111075.75</v>
      </c>
      <c r="K1177" s="601">
        <v>136244.81</v>
      </c>
      <c r="L1177" s="601">
        <v>112487.41</v>
      </c>
    </row>
    <row r="1178" spans="1:12" hidden="1">
      <c r="A1178" s="601" t="s">
        <v>2622</v>
      </c>
      <c r="B1178" s="601" t="str">
        <f t="shared" si="18"/>
        <v xml:space="preserve">CHRISTIAN </v>
      </c>
      <c r="C1178" s="601" t="str">
        <f>MID(Table3[[#This Row],[Statement Code]],FIND("- ",Table3[[#This Row],[Statement Code]])+2,100)</f>
        <v>PER</v>
      </c>
      <c r="D1178" s="602" t="s">
        <v>2623</v>
      </c>
      <c r="E1178" s="601" t="s">
        <v>2621</v>
      </c>
      <c r="F1178" s="601" t="s">
        <v>717</v>
      </c>
      <c r="G1178" s="601">
        <v>29</v>
      </c>
      <c r="H1178" s="601">
        <v>37.6</v>
      </c>
      <c r="I1178" s="601">
        <v>29.5</v>
      </c>
      <c r="J1178" s="601">
        <v>20.3</v>
      </c>
      <c r="K1178" s="601">
        <v>19.2</v>
      </c>
      <c r="L1178" s="601">
        <v>17.399999999999999</v>
      </c>
    </row>
    <row r="1179" spans="1:12" hidden="1">
      <c r="A1179" s="601" t="s">
        <v>2624</v>
      </c>
      <c r="B1179" s="601" t="str">
        <f t="shared" si="18"/>
        <v xml:space="preserve">CHRISTIAN </v>
      </c>
      <c r="C1179" s="601" t="str">
        <f>MID(Table3[[#This Row],[Statement Code]],FIND("- ",Table3[[#This Row],[Statement Code]])+2,100)</f>
        <v>12MTH FORWARD EPS</v>
      </c>
      <c r="D1179" s="602" t="s">
        <v>2625</v>
      </c>
      <c r="E1179" s="601" t="s">
        <v>2621</v>
      </c>
      <c r="F1179" s="601" t="s">
        <v>551</v>
      </c>
      <c r="G1179" s="601">
        <v>19.648</v>
      </c>
      <c r="H1179" s="601">
        <v>16.523</v>
      </c>
      <c r="I1179" s="601" t="s">
        <v>23</v>
      </c>
      <c r="J1179" s="601" t="s">
        <v>23</v>
      </c>
      <c r="K1179" s="601" t="s">
        <v>23</v>
      </c>
      <c r="L1179" s="601" t="s">
        <v>23</v>
      </c>
    </row>
    <row r="1180" spans="1:12" hidden="1">
      <c r="A1180" s="601" t="s">
        <v>2626</v>
      </c>
      <c r="B1180" s="601" t="str">
        <f t="shared" si="18"/>
        <v xml:space="preserve">CHRISTIAN </v>
      </c>
      <c r="C1180" s="601" t="e">
        <f>MID(Table3[[#This Row],[Statement Code]],FIND("- ",Table3[[#This Row],[Statement Code]])+2,100)</f>
        <v>#VALUE!</v>
      </c>
      <c r="D1180" s="602" t="s">
        <v>2627</v>
      </c>
      <c r="E1180" s="601" t="s">
        <v>2621</v>
      </c>
      <c r="F1180" s="601" t="s">
        <v>717</v>
      </c>
      <c r="G1180" s="601">
        <v>3.9750000000000001</v>
      </c>
      <c r="H1180" s="601">
        <v>3.6859999999999999</v>
      </c>
      <c r="I1180" s="601" t="s">
        <v>23</v>
      </c>
      <c r="J1180" s="601" t="s">
        <v>23</v>
      </c>
      <c r="K1180" s="601" t="s">
        <v>23</v>
      </c>
      <c r="L1180" s="601" t="s">
        <v>23</v>
      </c>
    </row>
    <row r="1181" spans="1:12" hidden="1">
      <c r="A1181" s="601" t="s">
        <v>2626</v>
      </c>
      <c r="B1181" s="601" t="str">
        <f t="shared" si="18"/>
        <v xml:space="preserve">CHRISTIAN </v>
      </c>
      <c r="C1181" s="601" t="e">
        <f>MID(Table3[[#This Row],[Statement Code]],FIND("- ",Table3[[#This Row],[Statement Code]])+2,100)</f>
        <v>#VALUE!</v>
      </c>
      <c r="D1181" s="602" t="s">
        <v>2628</v>
      </c>
      <c r="E1181" s="601" t="s">
        <v>2621</v>
      </c>
      <c r="F1181" s="601" t="s">
        <v>23</v>
      </c>
      <c r="G1181" s="601">
        <v>10.944000000000001</v>
      </c>
      <c r="H1181" s="601">
        <v>12.237</v>
      </c>
      <c r="I1181" s="601" t="s">
        <v>23</v>
      </c>
      <c r="J1181" s="601" t="s">
        <v>23</v>
      </c>
      <c r="K1181" s="601" t="s">
        <v>23</v>
      </c>
      <c r="L1181" s="601" t="s">
        <v>23</v>
      </c>
    </row>
    <row r="1182" spans="1:12" hidden="1">
      <c r="A1182" s="601" t="s">
        <v>2626</v>
      </c>
      <c r="B1182" s="601" t="str">
        <f t="shared" si="18"/>
        <v xml:space="preserve">CHRISTIAN </v>
      </c>
      <c r="C1182" s="601" t="e">
        <f>MID(Table3[[#This Row],[Statement Code]],FIND("- ",Table3[[#This Row],[Statement Code]])+2,100)</f>
        <v>#VALUE!</v>
      </c>
      <c r="D1182" s="602" t="s">
        <v>2629</v>
      </c>
      <c r="E1182" s="601" t="s">
        <v>2621</v>
      </c>
      <c r="F1182" s="601" t="s">
        <v>23</v>
      </c>
      <c r="G1182" s="601">
        <v>9.0749999999999993</v>
      </c>
      <c r="H1182" s="601">
        <v>10.156000000000001</v>
      </c>
      <c r="I1182" s="601" t="s">
        <v>23</v>
      </c>
      <c r="J1182" s="601" t="s">
        <v>23</v>
      </c>
      <c r="K1182" s="601" t="s">
        <v>23</v>
      </c>
      <c r="L1182" s="601" t="s">
        <v>23</v>
      </c>
    </row>
    <row r="1183" spans="1:12" hidden="1">
      <c r="A1183" s="601" t="s">
        <v>2626</v>
      </c>
      <c r="B1183" s="601" t="str">
        <f t="shared" si="18"/>
        <v xml:space="preserve">CHRISTIAN </v>
      </c>
      <c r="C1183" s="601" t="e">
        <f>MID(Table3[[#This Row],[Statement Code]],FIND("- ",Table3[[#This Row],[Statement Code]])+2,100)</f>
        <v>#VALUE!</v>
      </c>
      <c r="D1183" s="602" t="s">
        <v>2630</v>
      </c>
      <c r="E1183" s="601" t="s">
        <v>2621</v>
      </c>
      <c r="F1183" s="601" t="s">
        <v>23</v>
      </c>
      <c r="G1183" s="601">
        <v>2.355</v>
      </c>
      <c r="H1183" s="601">
        <v>2.2839999999999998</v>
      </c>
      <c r="I1183" s="601" t="s">
        <v>23</v>
      </c>
      <c r="J1183" s="601" t="s">
        <v>23</v>
      </c>
      <c r="K1183" s="601" t="s">
        <v>23</v>
      </c>
      <c r="L1183" s="601" t="s">
        <v>23</v>
      </c>
    </row>
    <row r="1184" spans="1:12" hidden="1">
      <c r="A1184" s="601" t="s">
        <v>2626</v>
      </c>
      <c r="B1184" s="601" t="str">
        <f t="shared" si="18"/>
        <v xml:space="preserve">CHRISTIAN </v>
      </c>
      <c r="C1184" s="601" t="e">
        <f>MID(Table3[[#This Row],[Statement Code]],FIND("- ",Table3[[#This Row],[Statement Code]])+2,100)</f>
        <v>#VALUE!</v>
      </c>
      <c r="D1184" s="602" t="s">
        <v>2631</v>
      </c>
      <c r="E1184" s="601" t="s">
        <v>2621</v>
      </c>
      <c r="F1184" s="601" t="s">
        <v>717</v>
      </c>
      <c r="G1184" s="601">
        <v>-8.6999999999999994E-2</v>
      </c>
      <c r="H1184" s="601">
        <v>0.57099999999999995</v>
      </c>
      <c r="I1184" s="601" t="s">
        <v>23</v>
      </c>
      <c r="J1184" s="601" t="s">
        <v>23</v>
      </c>
      <c r="K1184" s="601" t="s">
        <v>23</v>
      </c>
      <c r="L1184" s="601" t="s">
        <v>23</v>
      </c>
    </row>
    <row r="1185" spans="1:12" hidden="1">
      <c r="A1185" s="601" t="s">
        <v>2626</v>
      </c>
      <c r="B1185" s="601" t="str">
        <f t="shared" si="18"/>
        <v xml:space="preserve">CHRISTIAN </v>
      </c>
      <c r="C1185" s="601" t="e">
        <f>MID(Table3[[#This Row],[Statement Code]],FIND("- ",Table3[[#This Row],[Statement Code]])+2,100)</f>
        <v>#VALUE!</v>
      </c>
      <c r="D1185" s="602" t="s">
        <v>2632</v>
      </c>
      <c r="E1185" s="601" t="s">
        <v>2621</v>
      </c>
      <c r="F1185" s="601" t="s">
        <v>717</v>
      </c>
      <c r="G1185" s="601">
        <v>-1.2E-2</v>
      </c>
      <c r="H1185" s="601" t="s">
        <v>23</v>
      </c>
      <c r="I1185" s="601" t="s">
        <v>23</v>
      </c>
      <c r="J1185" s="601" t="s">
        <v>23</v>
      </c>
      <c r="K1185" s="601" t="s">
        <v>23</v>
      </c>
      <c r="L1185" s="601" t="s">
        <v>23</v>
      </c>
    </row>
    <row r="1186" spans="1:12" hidden="1">
      <c r="A1186" s="601" t="s">
        <v>2626</v>
      </c>
      <c r="B1186" s="601" t="str">
        <f t="shared" si="18"/>
        <v xml:space="preserve">CHRISTIAN </v>
      </c>
      <c r="C1186" s="601" t="e">
        <f>MID(Table3[[#This Row],[Statement Code]],FIND("- ",Table3[[#This Row],[Statement Code]])+2,100)</f>
        <v>#VALUE!</v>
      </c>
      <c r="D1186" s="602" t="s">
        <v>2633</v>
      </c>
      <c r="E1186" s="601" t="s">
        <v>2621</v>
      </c>
      <c r="F1186" s="601" t="s">
        <v>717</v>
      </c>
      <c r="G1186" s="601">
        <v>1.7</v>
      </c>
      <c r="H1186" s="601">
        <v>1.39</v>
      </c>
      <c r="I1186" s="601">
        <v>1.53</v>
      </c>
      <c r="J1186" s="601" t="s">
        <v>23</v>
      </c>
      <c r="K1186" s="601" t="s">
        <v>23</v>
      </c>
      <c r="L1186" s="601" t="s">
        <v>23</v>
      </c>
    </row>
    <row r="1187" spans="1:12" hidden="1">
      <c r="A1187" s="601" t="s">
        <v>2626</v>
      </c>
      <c r="B1187" s="601" t="str">
        <f t="shared" si="18"/>
        <v xml:space="preserve">CHRISTIAN </v>
      </c>
      <c r="C1187" s="601" t="e">
        <f>MID(Table3[[#This Row],[Statement Code]],FIND("- ",Table3[[#This Row],[Statement Code]])+2,100)</f>
        <v>#VALUE!</v>
      </c>
      <c r="D1187" s="602" t="s">
        <v>2634</v>
      </c>
      <c r="E1187" s="601" t="s">
        <v>2621</v>
      </c>
      <c r="F1187" s="601" t="s">
        <v>717</v>
      </c>
      <c r="G1187" s="601">
        <v>1.01</v>
      </c>
      <c r="H1187" s="601">
        <v>0.79</v>
      </c>
      <c r="I1187" s="601">
        <v>0.84</v>
      </c>
      <c r="J1187" s="601" t="s">
        <v>23</v>
      </c>
      <c r="K1187" s="601" t="s">
        <v>23</v>
      </c>
      <c r="L1187" s="601" t="s">
        <v>23</v>
      </c>
    </row>
    <row r="1188" spans="1:12" hidden="1">
      <c r="A1188" s="601" t="s">
        <v>2626</v>
      </c>
      <c r="B1188" s="601" t="str">
        <f t="shared" si="18"/>
        <v xml:space="preserve">CHRISTIAN </v>
      </c>
      <c r="C1188" s="601" t="e">
        <f>MID(Table3[[#This Row],[Statement Code]],FIND("- ",Table3[[#This Row],[Statement Code]])+2,100)</f>
        <v>#VALUE!</v>
      </c>
      <c r="D1188" s="602" t="s">
        <v>2635</v>
      </c>
      <c r="E1188" s="601" t="s">
        <v>2621</v>
      </c>
      <c r="F1188" s="601" t="s">
        <v>717</v>
      </c>
      <c r="G1188" s="601">
        <v>4.6433</v>
      </c>
      <c r="H1188" s="601">
        <v>5.3337000000000003</v>
      </c>
      <c r="I1188" s="601" t="s">
        <v>23</v>
      </c>
      <c r="J1188" s="601" t="s">
        <v>23</v>
      </c>
      <c r="K1188" s="601" t="s">
        <v>23</v>
      </c>
      <c r="L1188" s="601" t="s">
        <v>23</v>
      </c>
    </row>
    <row r="1189" spans="1:12">
      <c r="A1189" s="601" t="s">
        <v>2636</v>
      </c>
      <c r="B1189" s="601" t="str">
        <f t="shared" si="18"/>
        <v xml:space="preserve">CHRISTIAN </v>
      </c>
      <c r="C1189" s="601" t="str">
        <f>MID(Table3[[#This Row],[Statement Code]],FIND("- ",Table3[[#This Row],[Statement Code]])+2,100)</f>
        <v>12MTH TRAILING EPS</v>
      </c>
      <c r="D1189" s="602" t="s">
        <v>2637</v>
      </c>
      <c r="E1189" s="601" t="s">
        <v>2621</v>
      </c>
      <c r="F1189" s="601" t="s">
        <v>551</v>
      </c>
      <c r="G1189" s="601">
        <v>17.550999999999998</v>
      </c>
      <c r="H1189" s="601">
        <v>12.9</v>
      </c>
      <c r="I1189" s="601" t="s">
        <v>23</v>
      </c>
      <c r="J1189" s="601" t="s">
        <v>23</v>
      </c>
      <c r="K1189" s="601" t="s">
        <v>23</v>
      </c>
      <c r="L1189" s="601" t="s">
        <v>23</v>
      </c>
    </row>
    <row r="1190" spans="1:12" hidden="1">
      <c r="A1190" s="601" t="s">
        <v>2638</v>
      </c>
      <c r="B1190" s="601" t="str">
        <f t="shared" si="18"/>
        <v xml:space="preserve">CHRISTIAN </v>
      </c>
      <c r="C1190" s="601" t="str">
        <f>MID(Table3[[#This Row],[Statement Code]],FIND("- ",Table3[[#This Row],[Statement Code]])+2,100)</f>
        <v>DIV.PER SHR.</v>
      </c>
      <c r="D1190" s="602" t="s">
        <v>2639</v>
      </c>
      <c r="E1190" s="601" t="s">
        <v>2621</v>
      </c>
      <c r="F1190" s="601" t="s">
        <v>551</v>
      </c>
      <c r="G1190" s="601">
        <v>6.86</v>
      </c>
      <c r="H1190" s="601">
        <v>5.69</v>
      </c>
      <c r="I1190" s="601">
        <v>8.2200000000000006</v>
      </c>
      <c r="J1190" s="601">
        <v>12.04</v>
      </c>
      <c r="K1190" s="601">
        <v>13.34</v>
      </c>
      <c r="L1190" s="601">
        <v>14.45</v>
      </c>
    </row>
    <row r="1191" spans="1:12" hidden="1">
      <c r="A1191" s="601" t="s">
        <v>2626</v>
      </c>
      <c r="B1191" s="601" t="str">
        <f t="shared" si="18"/>
        <v xml:space="preserve">CHRISTIAN </v>
      </c>
      <c r="C1191" s="601" t="e">
        <f>MID(Table3[[#This Row],[Statement Code]],FIND("- ",Table3[[#This Row],[Statement Code]])+2,100)</f>
        <v>#VALUE!</v>
      </c>
      <c r="D1191" s="602" t="s">
        <v>2640</v>
      </c>
      <c r="E1191" s="601" t="s">
        <v>2621</v>
      </c>
      <c r="F1191" s="601" t="s">
        <v>717</v>
      </c>
      <c r="G1191" s="601">
        <v>1.681</v>
      </c>
      <c r="H1191" s="601">
        <v>1.6080000000000001</v>
      </c>
      <c r="I1191" s="601" t="s">
        <v>23</v>
      </c>
      <c r="J1191" s="601" t="s">
        <v>23</v>
      </c>
      <c r="K1191" s="601" t="s">
        <v>23</v>
      </c>
      <c r="L1191" s="601" t="s">
        <v>23</v>
      </c>
    </row>
    <row r="1192" spans="1:12" hidden="1">
      <c r="A1192" s="601" t="s">
        <v>2624</v>
      </c>
      <c r="B1192" s="601" t="str">
        <f t="shared" si="18"/>
        <v xml:space="preserve">CHRISTIAN </v>
      </c>
      <c r="C1192" s="601" t="str">
        <f>MID(Table3[[#This Row],[Statement Code]],FIND("- ",Table3[[#This Row],[Statement Code]])+2,100)</f>
        <v>12MTH FORWARD EPS</v>
      </c>
      <c r="D1192" s="602" t="s">
        <v>2625</v>
      </c>
      <c r="E1192" s="601" t="s">
        <v>2621</v>
      </c>
      <c r="F1192" s="601" t="s">
        <v>551</v>
      </c>
      <c r="G1192" s="601">
        <v>19.648</v>
      </c>
      <c r="H1192" s="601">
        <v>16.523</v>
      </c>
      <c r="I1192" s="601" t="s">
        <v>23</v>
      </c>
      <c r="J1192" s="601" t="s">
        <v>23</v>
      </c>
      <c r="K1192" s="601" t="s">
        <v>23</v>
      </c>
      <c r="L1192" s="601" t="s">
        <v>23</v>
      </c>
    </row>
    <row r="1193" spans="1:12" hidden="1">
      <c r="A1193" s="601" t="s">
        <v>2622</v>
      </c>
      <c r="B1193" s="601" t="str">
        <f t="shared" si="18"/>
        <v xml:space="preserve">CHRISTIAN </v>
      </c>
      <c r="C1193" s="601" t="str">
        <f>MID(Table3[[#This Row],[Statement Code]],FIND("- ",Table3[[#This Row],[Statement Code]])+2,100)</f>
        <v>PER</v>
      </c>
      <c r="D1193" s="602" t="s">
        <v>2623</v>
      </c>
      <c r="E1193" s="601" t="s">
        <v>2621</v>
      </c>
      <c r="F1193" s="601" t="s">
        <v>717</v>
      </c>
      <c r="G1193" s="601">
        <v>29</v>
      </c>
      <c r="H1193" s="601">
        <v>37.6</v>
      </c>
      <c r="I1193" s="601">
        <v>29.5</v>
      </c>
      <c r="J1193" s="601">
        <v>20.3</v>
      </c>
      <c r="K1193" s="601">
        <v>19.2</v>
      </c>
      <c r="L1193" s="601">
        <v>17.399999999999999</v>
      </c>
    </row>
    <row r="1194" spans="1:12" hidden="1">
      <c r="A1194" s="601" t="s">
        <v>2619</v>
      </c>
      <c r="B1194" s="601" t="str">
        <f t="shared" si="18"/>
        <v xml:space="preserve">CHRISTIAN </v>
      </c>
      <c r="C1194" s="601" t="str">
        <f>MID(Table3[[#This Row],[Statement Code]],FIND("- ",Table3[[#This Row],[Statement Code]])+2,100)</f>
        <v>MARKET VALUE</v>
      </c>
      <c r="D1194" s="602" t="s">
        <v>2620</v>
      </c>
      <c r="E1194" s="601" t="s">
        <v>2621</v>
      </c>
      <c r="F1194" s="601" t="s">
        <v>551</v>
      </c>
      <c r="G1194" s="601">
        <v>86238.43</v>
      </c>
      <c r="H1194" s="601">
        <v>81262.3</v>
      </c>
      <c r="I1194" s="601">
        <v>134958.38</v>
      </c>
      <c r="J1194" s="601">
        <v>111075.75</v>
      </c>
      <c r="K1194" s="601">
        <v>136244.81</v>
      </c>
      <c r="L1194" s="601">
        <v>112487.41</v>
      </c>
    </row>
    <row r="1195" spans="1:12" hidden="1">
      <c r="A1195" s="601" t="s">
        <v>2641</v>
      </c>
      <c r="B1195" s="601" t="str">
        <f t="shared" si="18"/>
        <v xml:space="preserve">CHRISTIAN </v>
      </c>
      <c r="C1195" s="601" t="str">
        <f>MID(Table3[[#This Row],[Statement Code]],FIND("- ",Table3[[#This Row],[Statement Code]])+2,100)</f>
        <v>EARNINGS PER SHR</v>
      </c>
      <c r="D1195" s="602" t="s">
        <v>2642</v>
      </c>
      <c r="E1195" s="601" t="s">
        <v>2621</v>
      </c>
      <c r="F1195" s="601" t="s">
        <v>551</v>
      </c>
      <c r="G1195" s="601">
        <v>16.48</v>
      </c>
      <c r="H1195" s="601">
        <v>11.99</v>
      </c>
      <c r="I1195" s="601">
        <v>25.34</v>
      </c>
      <c r="J1195" s="601">
        <v>30.36</v>
      </c>
      <c r="K1195" s="601">
        <v>39.24</v>
      </c>
      <c r="L1195" s="601">
        <v>35.840000000000003</v>
      </c>
    </row>
    <row r="1196" spans="1:12" hidden="1">
      <c r="A1196" s="601" t="s">
        <v>2626</v>
      </c>
      <c r="B1196" s="601" t="str">
        <f t="shared" si="18"/>
        <v xml:space="preserve">CHRISTIAN </v>
      </c>
      <c r="C1196" s="601" t="e">
        <f>MID(Table3[[#This Row],[Statement Code]],FIND("- ",Table3[[#This Row],[Statement Code]])+2,100)</f>
        <v>#VALUE!</v>
      </c>
      <c r="D1196" s="602" t="s">
        <v>2643</v>
      </c>
      <c r="E1196" s="601" t="s">
        <v>2621</v>
      </c>
      <c r="F1196" s="601" t="s">
        <v>23</v>
      </c>
      <c r="G1196" s="601">
        <v>1.0902000000000001</v>
      </c>
      <c r="H1196" s="601">
        <v>1.1850000000000001</v>
      </c>
      <c r="I1196" s="601">
        <v>1.1619999999999999</v>
      </c>
      <c r="J1196" s="601">
        <v>1.1672</v>
      </c>
      <c r="K1196" s="601">
        <v>1.179</v>
      </c>
      <c r="L1196" s="601">
        <v>1.2179</v>
      </c>
    </row>
    <row r="1197" spans="1:12" hidden="1">
      <c r="A1197" s="601" t="s">
        <v>2626</v>
      </c>
      <c r="B1197" s="601" t="str">
        <f t="shared" si="18"/>
        <v xml:space="preserve">CHRISTIAN </v>
      </c>
      <c r="C1197" s="601" t="e">
        <f>MID(Table3[[#This Row],[Statement Code]],FIND("- ",Table3[[#This Row],[Statement Code]])+2,100)</f>
        <v>#VALUE!</v>
      </c>
      <c r="D1197" s="602" t="s">
        <v>2644</v>
      </c>
      <c r="E1197" s="601" t="s">
        <v>2621</v>
      </c>
      <c r="F1197" s="601" t="s">
        <v>23</v>
      </c>
      <c r="G1197" s="601">
        <v>0.21579999999999999</v>
      </c>
      <c r="H1197" s="601">
        <v>0.35270000000000001</v>
      </c>
      <c r="I1197" s="601">
        <v>0.3468</v>
      </c>
      <c r="J1197" s="601">
        <v>0.35620000000000002</v>
      </c>
      <c r="K1197" s="601">
        <v>0.3634</v>
      </c>
      <c r="L1197" s="601">
        <v>0.37780000000000002</v>
      </c>
    </row>
    <row r="1198" spans="1:12" hidden="1">
      <c r="A1198" s="601" t="s">
        <v>2645</v>
      </c>
      <c r="B1198" s="601" t="str">
        <f t="shared" si="18"/>
        <v xml:space="preserve">CHRISTIAN </v>
      </c>
      <c r="C1198" s="601" t="str">
        <f>MID(Table3[[#This Row],[Statement Code]],FIND("- ",Table3[[#This Row],[Statement Code]])+2,100)</f>
        <v>ACCOUNTS PAYABLE</v>
      </c>
      <c r="D1198" s="602" t="s">
        <v>2646</v>
      </c>
      <c r="E1198" s="601" t="s">
        <v>2621</v>
      </c>
      <c r="F1198" s="601" t="s">
        <v>551</v>
      </c>
      <c r="G1198" s="601">
        <v>6429775</v>
      </c>
      <c r="H1198" s="601">
        <v>6045976</v>
      </c>
      <c r="I1198" s="601">
        <v>8316972</v>
      </c>
      <c r="J1198" s="601">
        <v>8814514</v>
      </c>
      <c r="K1198" s="601">
        <v>9660615</v>
      </c>
      <c r="L1198" s="601" t="s">
        <v>23</v>
      </c>
    </row>
    <row r="1199" spans="1:12" hidden="1">
      <c r="A1199" s="601" t="s">
        <v>2647</v>
      </c>
      <c r="B1199" s="601" t="str">
        <f t="shared" si="18"/>
        <v xml:space="preserve">CHRISTIAN </v>
      </c>
      <c r="C1199" s="601" t="str">
        <f>MID(Table3[[#This Row],[Statement Code]],FIND("- ",Table3[[#This Row],[Statement Code]])+2,100)</f>
        <v>AMORTIZATION OF DEFERRED CHARG</v>
      </c>
      <c r="D1199" s="602" t="s">
        <v>2648</v>
      </c>
      <c r="E1199" s="601" t="s">
        <v>2621</v>
      </c>
      <c r="F1199" s="601" t="s">
        <v>551</v>
      </c>
      <c r="G1199" s="601">
        <v>0</v>
      </c>
      <c r="H1199" s="601">
        <v>0</v>
      </c>
      <c r="I1199" s="601">
        <v>0</v>
      </c>
      <c r="J1199" s="601">
        <v>0</v>
      </c>
      <c r="K1199" s="601">
        <v>0</v>
      </c>
      <c r="L1199" s="601" t="s">
        <v>23</v>
      </c>
    </row>
    <row r="1200" spans="1:12" hidden="1">
      <c r="A1200" s="601" t="s">
        <v>2649</v>
      </c>
      <c r="B1200" s="601" t="str">
        <f t="shared" si="18"/>
        <v xml:space="preserve">CHRISTIAN </v>
      </c>
      <c r="C1200" s="601" t="str">
        <f>MID(Table3[[#This Row],[Statement Code]],FIND("- ",Table3[[#This Row],[Statement Code]])+2,100)</f>
        <v>AMORTIZATION OF INTANGIBLES</v>
      </c>
      <c r="D1200" s="602" t="s">
        <v>2650</v>
      </c>
      <c r="E1200" s="601" t="s">
        <v>2621</v>
      </c>
      <c r="F1200" s="601" t="s">
        <v>551</v>
      </c>
      <c r="G1200" s="601">
        <v>466695</v>
      </c>
      <c r="H1200" s="601">
        <v>636856</v>
      </c>
      <c r="I1200" s="601">
        <v>619724</v>
      </c>
      <c r="J1200" s="601">
        <v>604819</v>
      </c>
      <c r="K1200" s="601">
        <v>767597</v>
      </c>
      <c r="L1200" s="601" t="s">
        <v>23</v>
      </c>
    </row>
    <row r="1201" spans="1:12" hidden="1">
      <c r="A1201" s="601" t="s">
        <v>2651</v>
      </c>
      <c r="B1201" s="601" t="str">
        <f t="shared" si="18"/>
        <v xml:space="preserve">CHRISTIAN </v>
      </c>
      <c r="C1201" s="601" t="str">
        <f>MID(Table3[[#This Row],[Statement Code]],FIND("- ",Table3[[#This Row],[Statement Code]])+2,100)</f>
        <v>BOOK VALUE-OUT SHARES-FISCAL</v>
      </c>
      <c r="D1201" s="602" t="s">
        <v>2652</v>
      </c>
      <c r="E1201" s="601" t="s">
        <v>2621</v>
      </c>
      <c r="F1201" s="601" t="s">
        <v>551</v>
      </c>
      <c r="G1201" s="601">
        <v>66.694000000000003</v>
      </c>
      <c r="H1201" s="601">
        <v>74.084999999999994</v>
      </c>
      <c r="I1201" s="601">
        <v>100.00700000000001</v>
      </c>
      <c r="J1201" s="601">
        <v>105.84399999999999</v>
      </c>
      <c r="K1201" s="601">
        <v>127.387</v>
      </c>
      <c r="L1201" s="601" t="s">
        <v>23</v>
      </c>
    </row>
    <row r="1202" spans="1:12" hidden="1">
      <c r="A1202" s="601" t="s">
        <v>2653</v>
      </c>
      <c r="B1202" s="601" t="str">
        <f t="shared" si="18"/>
        <v xml:space="preserve">CHRISTIAN </v>
      </c>
      <c r="C1202" s="601" t="str">
        <f>MID(Table3[[#This Row],[Statement Code]],FIND("- ",Table3[[#This Row],[Statement Code]])+2,100)</f>
        <v>BOOK VALUE PER SHARE</v>
      </c>
      <c r="D1202" s="602" t="s">
        <v>2654</v>
      </c>
      <c r="E1202" s="601" t="s">
        <v>2621</v>
      </c>
      <c r="F1202" s="601" t="s">
        <v>551</v>
      </c>
      <c r="G1202" s="601">
        <v>66.694000000000003</v>
      </c>
      <c r="H1202" s="601">
        <v>74.084999999999994</v>
      </c>
      <c r="I1202" s="601">
        <v>100.00700000000001</v>
      </c>
      <c r="J1202" s="601">
        <v>105.84399999999999</v>
      </c>
      <c r="K1202" s="601">
        <v>127.387</v>
      </c>
      <c r="L1202" s="601" t="s">
        <v>23</v>
      </c>
    </row>
    <row r="1203" spans="1:12">
      <c r="A1203" s="601" t="s">
        <v>2655</v>
      </c>
      <c r="B1203" s="601" t="str">
        <f t="shared" si="18"/>
        <v xml:space="preserve">CHRISTIAN </v>
      </c>
      <c r="C1203" s="601" t="str">
        <f>MID(Table3[[#This Row],[Statement Code]],FIND("- ",Table3[[#This Row],[Statement Code]])+2,100)</f>
        <v>CAPITAL EXPENDITURES</v>
      </c>
      <c r="D1203" s="602" t="s">
        <v>2656</v>
      </c>
      <c r="E1203" s="601" t="s">
        <v>2621</v>
      </c>
      <c r="F1203" s="601" t="s">
        <v>551</v>
      </c>
      <c r="G1203" s="601">
        <v>3162910</v>
      </c>
      <c r="H1203" s="601">
        <v>2352926</v>
      </c>
      <c r="I1203" s="601">
        <v>3139698</v>
      </c>
      <c r="J1203" s="601">
        <v>4411269</v>
      </c>
      <c r="K1203" s="601">
        <v>7267080</v>
      </c>
      <c r="L1203" s="601" t="s">
        <v>23</v>
      </c>
    </row>
    <row r="1204" spans="1:12" hidden="1">
      <c r="A1204" s="601" t="s">
        <v>2657</v>
      </c>
      <c r="B1204" s="601" t="str">
        <f t="shared" si="18"/>
        <v xml:space="preserve">CHRISTIAN </v>
      </c>
      <c r="C1204" s="601" t="str">
        <f>MID(Table3[[#This Row],[Statement Code]],FIND("- ",Table3[[#This Row],[Statement Code]])+2,100)</f>
        <v>CASH</v>
      </c>
      <c r="D1204" s="602" t="s">
        <v>2658</v>
      </c>
      <c r="E1204" s="601" t="s">
        <v>2621</v>
      </c>
      <c r="F1204" s="601" t="s">
        <v>551</v>
      </c>
      <c r="G1204" s="601">
        <v>6704042</v>
      </c>
      <c r="H1204" s="601">
        <v>24143583</v>
      </c>
      <c r="I1204" s="601">
        <v>9532945</v>
      </c>
      <c r="J1204" s="601">
        <v>7610894</v>
      </c>
      <c r="K1204" s="601">
        <v>8456375</v>
      </c>
      <c r="L1204" s="601" t="s">
        <v>23</v>
      </c>
    </row>
    <row r="1205" spans="1:12" hidden="1">
      <c r="A1205" s="601" t="s">
        <v>2659</v>
      </c>
      <c r="B1205" s="601" t="str">
        <f t="shared" si="18"/>
        <v xml:space="preserve">CHRISTIAN </v>
      </c>
      <c r="C1205" s="601" t="str">
        <f>MID(Table3[[#This Row],[Statement Code]],FIND("- ",Table3[[#This Row],[Statement Code]])+2,100)</f>
        <v>CASH - GENERIC</v>
      </c>
      <c r="D1205" s="602" t="s">
        <v>2660</v>
      </c>
      <c r="E1205" s="601" t="s">
        <v>2621</v>
      </c>
      <c r="F1205" s="601" t="s">
        <v>551</v>
      </c>
      <c r="G1205" s="601">
        <v>7713740</v>
      </c>
      <c r="H1205" s="601">
        <v>26183419</v>
      </c>
      <c r="I1205" s="601">
        <v>12821705</v>
      </c>
      <c r="J1205" s="601">
        <v>11699192</v>
      </c>
      <c r="K1205" s="601">
        <v>12833491</v>
      </c>
      <c r="L1205" s="601" t="s">
        <v>23</v>
      </c>
    </row>
    <row r="1206" spans="1:12">
      <c r="A1206" s="601" t="s">
        <v>2661</v>
      </c>
      <c r="B1206" s="601" t="str">
        <f t="shared" si="18"/>
        <v xml:space="preserve">CHRISTIAN </v>
      </c>
      <c r="C1206" s="601" t="str">
        <f>MID(Table3[[#This Row],[Statement Code]],FIND("- ",Table3[[#This Row],[Statement Code]])+2,100)</f>
        <v>CASH &amp; SHORT TERM INVESTMENTS</v>
      </c>
      <c r="D1206" s="602" t="s">
        <v>2662</v>
      </c>
      <c r="E1206" s="601" t="s">
        <v>2621</v>
      </c>
      <c r="F1206" s="601" t="s">
        <v>551</v>
      </c>
      <c r="G1206" s="601">
        <v>7713740</v>
      </c>
      <c r="H1206" s="601">
        <v>26183419</v>
      </c>
      <c r="I1206" s="601">
        <v>12821705</v>
      </c>
      <c r="J1206" s="601">
        <v>11699192</v>
      </c>
      <c r="K1206" s="601">
        <v>12833491</v>
      </c>
      <c r="L1206" s="601" t="s">
        <v>23</v>
      </c>
    </row>
    <row r="1207" spans="1:12" hidden="1">
      <c r="A1207" s="601" t="s">
        <v>2663</v>
      </c>
      <c r="B1207" s="601" t="str">
        <f t="shared" si="18"/>
        <v xml:space="preserve">CHRISTIAN </v>
      </c>
      <c r="C1207" s="601" t="str">
        <f>MID(Table3[[#This Row],[Statement Code]],FIND("- ",Table3[[#This Row],[Statement Code]])+2,100)</f>
        <v>CASH DIVIDENDS PAID - TOTAL</v>
      </c>
      <c r="D1207" s="602" t="s">
        <v>2664</v>
      </c>
      <c r="E1207" s="601" t="s">
        <v>2621</v>
      </c>
      <c r="F1207" s="601" t="s">
        <v>551</v>
      </c>
      <c r="G1207" s="601">
        <v>7062357</v>
      </c>
      <c r="H1207" s="601">
        <v>984339</v>
      </c>
      <c r="I1207" s="601">
        <v>1482407</v>
      </c>
      <c r="J1207" s="601">
        <v>2171532</v>
      </c>
      <c r="K1207" s="601">
        <v>2407414</v>
      </c>
      <c r="L1207" s="601" t="s">
        <v>23</v>
      </c>
    </row>
    <row r="1208" spans="1:12" hidden="1">
      <c r="A1208" s="601" t="s">
        <v>2665</v>
      </c>
      <c r="B1208" s="601" t="str">
        <f t="shared" si="18"/>
        <v xml:space="preserve">CHRISTIAN </v>
      </c>
      <c r="C1208" s="601" t="str">
        <f>MID(Table3[[#This Row],[Statement Code]],FIND("- ",Table3[[#This Row],[Statement Code]])+2,100)</f>
        <v>CASH FLOW PER SHARE</v>
      </c>
      <c r="D1208" s="602" t="s">
        <v>2666</v>
      </c>
      <c r="E1208" s="601" t="s">
        <v>2621</v>
      </c>
      <c r="F1208" s="601" t="s">
        <v>551</v>
      </c>
      <c r="G1208" s="601">
        <v>79</v>
      </c>
      <c r="H1208" s="601">
        <v>73.98</v>
      </c>
      <c r="I1208" s="601">
        <v>118.54300000000001</v>
      </c>
      <c r="J1208" s="601">
        <v>115.941</v>
      </c>
      <c r="K1208" s="601">
        <v>135.96199999999999</v>
      </c>
      <c r="L1208" s="601" t="s">
        <v>23</v>
      </c>
    </row>
    <row r="1209" spans="1:12" hidden="1">
      <c r="A1209" s="601" t="s">
        <v>2667</v>
      </c>
      <c r="B1209" s="601" t="str">
        <f t="shared" si="18"/>
        <v xml:space="preserve">CHRISTIAN </v>
      </c>
      <c r="C1209" s="601" t="str">
        <f>MID(Table3[[#This Row],[Statement Code]],FIND("- ",Table3[[#This Row],[Statement Code]])+2,100)</f>
        <v>CASH FLOW PER SHARE - FIS YR</v>
      </c>
      <c r="D1209" s="602" t="s">
        <v>2668</v>
      </c>
      <c r="E1209" s="601" t="s">
        <v>2621</v>
      </c>
      <c r="F1209" s="601" t="s">
        <v>551</v>
      </c>
      <c r="G1209" s="601">
        <v>79</v>
      </c>
      <c r="H1209" s="601">
        <v>73.98</v>
      </c>
      <c r="I1209" s="601">
        <v>118.54300000000001</v>
      </c>
      <c r="J1209" s="601">
        <v>115.941</v>
      </c>
      <c r="K1209" s="601">
        <v>135.96199999999999</v>
      </c>
      <c r="L1209" s="601" t="s">
        <v>23</v>
      </c>
    </row>
    <row r="1210" spans="1:12" hidden="1">
      <c r="A1210" s="601" t="s">
        <v>2669</v>
      </c>
      <c r="B1210" s="601" t="str">
        <f t="shared" si="18"/>
        <v xml:space="preserve">CHRISTIAN </v>
      </c>
      <c r="C1210" s="601" t="str">
        <f>MID(Table3[[#This Row],[Statement Code]],FIND("- ",Table3[[#This Row],[Statement Code]])+2,100)</f>
        <v>COMMON DIVIDENDS (CASH)</v>
      </c>
      <c r="D1210" s="602" t="s">
        <v>2670</v>
      </c>
      <c r="E1210" s="601" t="s">
        <v>2621</v>
      </c>
      <c r="F1210" s="601" t="s">
        <v>551</v>
      </c>
      <c r="G1210" s="601">
        <v>7062357</v>
      </c>
      <c r="H1210" s="601">
        <v>984339</v>
      </c>
      <c r="I1210" s="601">
        <v>1482407</v>
      </c>
      <c r="J1210" s="601">
        <v>2171532</v>
      </c>
      <c r="K1210" s="601">
        <v>2407414</v>
      </c>
      <c r="L1210" s="601" t="s">
        <v>23</v>
      </c>
    </row>
    <row r="1211" spans="1:12" hidden="1">
      <c r="A1211" s="601" t="s">
        <v>2671</v>
      </c>
      <c r="B1211" s="601" t="str">
        <f t="shared" si="18"/>
        <v xml:space="preserve">CHRISTIAN </v>
      </c>
      <c r="C1211" s="601" t="str">
        <f>MID(Table3[[#This Row],[Statement Code]],FIND("- ",Table3[[#This Row],[Statement Code]])+2,100)</f>
        <v>COMMON SHAREHOLDERS' EQUITY</v>
      </c>
      <c r="D1211" s="602" t="s">
        <v>2672</v>
      </c>
      <c r="E1211" s="601" t="s">
        <v>2621</v>
      </c>
      <c r="F1211" s="601" t="s">
        <v>551</v>
      </c>
      <c r="G1211" s="601">
        <v>12032328</v>
      </c>
      <c r="H1211" s="601">
        <v>13365664</v>
      </c>
      <c r="I1211" s="601">
        <v>18042406</v>
      </c>
      <c r="J1211" s="601">
        <v>19095440</v>
      </c>
      <c r="K1211" s="601">
        <v>22981995</v>
      </c>
      <c r="L1211" s="601" t="s">
        <v>23</v>
      </c>
    </row>
    <row r="1212" spans="1:12">
      <c r="A1212" s="601" t="s">
        <v>2673</v>
      </c>
      <c r="B1212" s="601" t="str">
        <f t="shared" si="18"/>
        <v xml:space="preserve">CHRISTIAN </v>
      </c>
      <c r="C1212" s="601" t="str">
        <f>MID(Table3[[#This Row],[Statement Code]],FIND("- ",Table3[[#This Row],[Statement Code]])+2,100)</f>
        <v>COMMON STOCK</v>
      </c>
      <c r="D1212" s="602" t="s">
        <v>2674</v>
      </c>
      <c r="E1212" s="601" t="s">
        <v>2621</v>
      </c>
      <c r="F1212" s="601" t="s">
        <v>551</v>
      </c>
      <c r="G1212" s="601">
        <v>399234</v>
      </c>
      <c r="H1212" s="601">
        <v>428128</v>
      </c>
      <c r="I1212" s="601">
        <v>423713</v>
      </c>
      <c r="J1212" s="601">
        <v>362089</v>
      </c>
      <c r="K1212" s="601">
        <v>385400</v>
      </c>
      <c r="L1212" s="601" t="s">
        <v>23</v>
      </c>
    </row>
    <row r="1213" spans="1:12" hidden="1">
      <c r="A1213" s="601" t="s">
        <v>2675</v>
      </c>
      <c r="B1213" s="601" t="str">
        <f t="shared" si="18"/>
        <v xml:space="preserve">CHRISTIAN </v>
      </c>
      <c r="C1213" s="601" t="str">
        <f>MID(Table3[[#This Row],[Statement Code]],FIND("- ",Table3[[#This Row],[Statement Code]])+2,100)</f>
        <v>COST OF GOODS SOLD (EXCL DEP)</v>
      </c>
      <c r="D1213" s="602" t="s">
        <v>2676</v>
      </c>
      <c r="E1213" s="601" t="s">
        <v>2621</v>
      </c>
      <c r="F1213" s="601" t="s">
        <v>551</v>
      </c>
      <c r="G1213" s="601">
        <v>15085752</v>
      </c>
      <c r="H1213" s="601">
        <v>13180656</v>
      </c>
      <c r="I1213" s="601">
        <v>17898039</v>
      </c>
      <c r="J1213" s="601">
        <v>19389324</v>
      </c>
      <c r="K1213" s="601">
        <v>22314751</v>
      </c>
      <c r="L1213" s="601" t="s">
        <v>23</v>
      </c>
    </row>
    <row r="1214" spans="1:12">
      <c r="A1214" s="601" t="s">
        <v>2677</v>
      </c>
      <c r="B1214" s="601" t="str">
        <f t="shared" si="18"/>
        <v xml:space="preserve">CHRISTIAN </v>
      </c>
      <c r="C1214" s="601" t="str">
        <f>MID(Table3[[#This Row],[Statement Code]],FIND("- ",Table3[[#This Row],[Statement Code]])+2,100)</f>
        <v>CURRENT ASSETS - TOTAL</v>
      </c>
      <c r="D1214" s="602" t="s">
        <v>2678</v>
      </c>
      <c r="E1214" s="601" t="s">
        <v>2621</v>
      </c>
      <c r="F1214" s="601" t="s">
        <v>551</v>
      </c>
      <c r="G1214" s="601">
        <v>29746834</v>
      </c>
      <c r="H1214" s="601">
        <v>47885130</v>
      </c>
      <c r="I1214" s="601">
        <v>40378276</v>
      </c>
      <c r="J1214" s="601">
        <v>40210956</v>
      </c>
      <c r="K1214" s="601">
        <v>46891724</v>
      </c>
      <c r="L1214" s="601" t="s">
        <v>23</v>
      </c>
    </row>
    <row r="1215" spans="1:12">
      <c r="A1215" s="601" t="s">
        <v>2679</v>
      </c>
      <c r="B1215" s="601" t="str">
        <f t="shared" si="18"/>
        <v xml:space="preserve">CHRISTIAN </v>
      </c>
      <c r="C1215" s="601" t="str">
        <f>MID(Table3[[#This Row],[Statement Code]],FIND("- ",Table3[[#This Row],[Statement Code]])+2,100)</f>
        <v>CURRENT LIABILITIES-TOTAL</v>
      </c>
      <c r="D1215" s="602" t="s">
        <v>2680</v>
      </c>
      <c r="E1215" s="601" t="s">
        <v>2621</v>
      </c>
      <c r="F1215" s="601" t="s">
        <v>551</v>
      </c>
      <c r="G1215" s="601">
        <v>25050024</v>
      </c>
      <c r="H1215" s="601">
        <v>30461143</v>
      </c>
      <c r="I1215" s="601">
        <v>32879386</v>
      </c>
      <c r="J1215" s="601">
        <v>31668259</v>
      </c>
      <c r="K1215" s="601">
        <v>35405531</v>
      </c>
      <c r="L1215" s="601" t="s">
        <v>23</v>
      </c>
    </row>
    <row r="1216" spans="1:12" hidden="1">
      <c r="A1216" s="601" t="s">
        <v>2681</v>
      </c>
      <c r="B1216" s="601" t="str">
        <f t="shared" si="18"/>
        <v xml:space="preserve">CHRISTIAN </v>
      </c>
      <c r="C1216" s="601" t="str">
        <f>MID(Table3[[#This Row],[Statement Code]],FIND("- ",Table3[[#This Row],[Statement Code]])+2,100)</f>
        <v>DEFERRED TAXES</v>
      </c>
      <c r="D1216" s="602" t="s">
        <v>2682</v>
      </c>
      <c r="E1216" s="601" t="s">
        <v>2621</v>
      </c>
      <c r="F1216" s="601" t="s">
        <v>551</v>
      </c>
      <c r="G1216" s="601">
        <v>3118673</v>
      </c>
      <c r="H1216" s="601">
        <v>3266108</v>
      </c>
      <c r="I1216" s="601">
        <v>3692520</v>
      </c>
      <c r="J1216" s="601">
        <v>2900726</v>
      </c>
      <c r="K1216" s="601">
        <v>2801354</v>
      </c>
      <c r="L1216" s="601" t="s">
        <v>23</v>
      </c>
    </row>
    <row r="1217" spans="1:12" hidden="1">
      <c r="A1217" s="601" t="s">
        <v>2683</v>
      </c>
      <c r="B1217" s="601" t="str">
        <f t="shared" si="18"/>
        <v xml:space="preserve">CHRISTIAN </v>
      </c>
      <c r="C1217" s="601" t="str">
        <f>MID(Table3[[#This Row],[Statement Code]],FIND("- ",Table3[[#This Row],[Statement Code]])+2,100)</f>
        <v>DEPRECIATION AND DEPLETION</v>
      </c>
      <c r="D1217" s="602" t="s">
        <v>2684</v>
      </c>
      <c r="E1217" s="601" t="s">
        <v>2621</v>
      </c>
      <c r="F1217" s="601" t="s">
        <v>551</v>
      </c>
      <c r="G1217" s="601">
        <v>5649001</v>
      </c>
      <c r="H1217" s="601">
        <v>7175001</v>
      </c>
      <c r="I1217" s="601">
        <v>6839260</v>
      </c>
      <c r="J1217" s="601">
        <v>6244785</v>
      </c>
      <c r="K1217" s="601">
        <v>7659953</v>
      </c>
      <c r="L1217" s="601" t="s">
        <v>23</v>
      </c>
    </row>
    <row r="1218" spans="1:12">
      <c r="A1218" s="601" t="s">
        <v>2685</v>
      </c>
      <c r="B1218" s="601" t="str">
        <f t="shared" si="18"/>
        <v xml:space="preserve">CHRISTIAN </v>
      </c>
      <c r="C1218" s="601" t="str">
        <f>MID(Table3[[#This Row],[Statement Code]],FIND("- ",Table3[[#This Row],[Statement Code]])+2,100)</f>
        <v>DEPRECIATION/DEPLETION/AMORT</v>
      </c>
      <c r="D1218" s="602" t="s">
        <v>2686</v>
      </c>
      <c r="E1218" s="601" t="s">
        <v>2621</v>
      </c>
      <c r="F1218" s="601" t="s">
        <v>551</v>
      </c>
      <c r="G1218" s="601">
        <v>4956700</v>
      </c>
      <c r="H1218" s="601">
        <v>5641567</v>
      </c>
      <c r="I1218" s="601">
        <v>5993008</v>
      </c>
      <c r="J1218" s="601">
        <v>5674068</v>
      </c>
      <c r="K1218" s="601">
        <v>6377778</v>
      </c>
      <c r="L1218" s="601" t="s">
        <v>23</v>
      </c>
    </row>
    <row r="1219" spans="1:12" hidden="1">
      <c r="A1219" s="601" t="s">
        <v>2687</v>
      </c>
      <c r="B1219" s="601" t="str">
        <f t="shared" ref="B1219:B1282" si="19">LEFT(A1219,FIND(" ",A1219))</f>
        <v xml:space="preserve">CHRISTIAN </v>
      </c>
      <c r="C1219" s="601" t="str">
        <f>MID(Table3[[#This Row],[Statement Code]],FIND("- ",Table3[[#This Row],[Statement Code]])+2,100)</f>
        <v>DIVIDENDS PER SHARE</v>
      </c>
      <c r="D1219" s="602" t="s">
        <v>2688</v>
      </c>
      <c r="E1219" s="601" t="s">
        <v>2621</v>
      </c>
      <c r="F1219" s="601" t="s">
        <v>551</v>
      </c>
      <c r="G1219" s="601">
        <v>5.3079999999999998</v>
      </c>
      <c r="H1219" s="601">
        <v>7.1159999999999997</v>
      </c>
      <c r="I1219" s="601">
        <v>11.737</v>
      </c>
      <c r="J1219" s="601">
        <v>12.036</v>
      </c>
      <c r="K1219" s="601">
        <v>13.879</v>
      </c>
      <c r="L1219" s="601" t="s">
        <v>23</v>
      </c>
    </row>
    <row r="1220" spans="1:12" hidden="1">
      <c r="A1220" s="601" t="s">
        <v>2689</v>
      </c>
      <c r="B1220" s="601" t="str">
        <f t="shared" si="19"/>
        <v xml:space="preserve">CHRISTIAN </v>
      </c>
      <c r="C1220" s="601" t="str">
        <f>MID(Table3[[#This Row],[Statement Code]],FIND("- ",Table3[[#This Row],[Statement Code]])+2,100)</f>
        <v>DIVIDENDS PER SHARE - FISCAL</v>
      </c>
      <c r="D1220" s="602" t="s">
        <v>2690</v>
      </c>
      <c r="E1220" s="601" t="s">
        <v>2621</v>
      </c>
      <c r="F1220" s="601" t="s">
        <v>551</v>
      </c>
      <c r="G1220" s="601">
        <v>5.3079999999999998</v>
      </c>
      <c r="H1220" s="601">
        <v>7.1159999999999997</v>
      </c>
      <c r="I1220" s="601">
        <v>11.737</v>
      </c>
      <c r="J1220" s="601">
        <v>12.036</v>
      </c>
      <c r="K1220" s="601">
        <v>13.879</v>
      </c>
      <c r="L1220" s="601" t="s">
        <v>23</v>
      </c>
    </row>
    <row r="1221" spans="1:12">
      <c r="A1221" s="601" t="s">
        <v>2691</v>
      </c>
      <c r="B1221" s="601" t="str">
        <f t="shared" si="19"/>
        <v xml:space="preserve">CHRISTIAN </v>
      </c>
      <c r="C1221" s="601" t="str">
        <f>MID(Table3[[#This Row],[Statement Code]],FIND("- ",Table3[[#This Row],[Statement Code]])+2,100)</f>
        <v>EARNINGS BEF INTEREST &amp; TAXES</v>
      </c>
      <c r="D1221" s="602" t="s">
        <v>2692</v>
      </c>
      <c r="E1221" s="601" t="s">
        <v>2621</v>
      </c>
      <c r="F1221" s="601" t="s">
        <v>551</v>
      </c>
      <c r="G1221" s="601">
        <v>12315442</v>
      </c>
      <c r="H1221" s="601">
        <v>9161469</v>
      </c>
      <c r="I1221" s="601">
        <v>20466136</v>
      </c>
      <c r="J1221" s="601">
        <v>20539785</v>
      </c>
      <c r="K1221" s="601">
        <v>24129653</v>
      </c>
      <c r="L1221" s="601" t="s">
        <v>23</v>
      </c>
    </row>
    <row r="1222" spans="1:12" hidden="1">
      <c r="A1222" s="601" t="s">
        <v>2693</v>
      </c>
      <c r="B1222" s="601" t="str">
        <f t="shared" si="19"/>
        <v xml:space="preserve">CHRISTIAN </v>
      </c>
      <c r="C1222" s="601" t="str">
        <f>MID(Table3[[#This Row],[Statement Code]],FIND("- ",Table3[[#This Row],[Statement Code]])+2,100)</f>
        <v>EBIT &amp; DEPRECIATION</v>
      </c>
      <c r="D1222" s="602" t="s">
        <v>2694</v>
      </c>
      <c r="E1222" s="601" t="s">
        <v>2621</v>
      </c>
      <c r="F1222" s="601" t="s">
        <v>551</v>
      </c>
      <c r="G1222" s="601">
        <v>17272141</v>
      </c>
      <c r="H1222" s="601">
        <v>14803036</v>
      </c>
      <c r="I1222" s="601">
        <v>26459144</v>
      </c>
      <c r="J1222" s="601">
        <v>26213852</v>
      </c>
      <c r="K1222" s="601">
        <v>30507431</v>
      </c>
      <c r="L1222" s="601" t="s">
        <v>23</v>
      </c>
    </row>
    <row r="1223" spans="1:12" hidden="1">
      <c r="A1223" s="601" t="s">
        <v>2695</v>
      </c>
      <c r="B1223" s="601" t="str">
        <f t="shared" si="19"/>
        <v xml:space="preserve">CHRISTIAN </v>
      </c>
      <c r="C1223" s="601" t="str">
        <f>MID(Table3[[#This Row],[Statement Code]],FIND("- ",Table3[[#This Row],[Statement Code]])+2,100)</f>
        <v>EARNINGS PER SHARE</v>
      </c>
      <c r="D1223" s="602" t="s">
        <v>2696</v>
      </c>
      <c r="E1223" s="601" t="s">
        <v>2621</v>
      </c>
      <c r="F1223" s="601" t="s">
        <v>551</v>
      </c>
      <c r="G1223" s="601">
        <v>18.018999999999998</v>
      </c>
      <c r="H1223" s="601">
        <v>12.707000000000001</v>
      </c>
      <c r="I1223" s="601">
        <v>32.177999999999997</v>
      </c>
      <c r="J1223" s="601">
        <v>32.228999999999999</v>
      </c>
      <c r="K1223" s="601">
        <v>37.304000000000002</v>
      </c>
      <c r="L1223" s="601" t="s">
        <v>23</v>
      </c>
    </row>
    <row r="1224" spans="1:12" hidden="1">
      <c r="A1224" s="601" t="s">
        <v>2697</v>
      </c>
      <c r="B1224" s="601" t="str">
        <f t="shared" si="19"/>
        <v xml:space="preserve">CHRISTIAN </v>
      </c>
      <c r="C1224" s="601" t="str">
        <f>MID(Table3[[#This Row],[Statement Code]],FIND("- ",Table3[[#This Row],[Statement Code]])+2,100)</f>
        <v>FISCAL EPS-FULLY DILUTED-YR</v>
      </c>
      <c r="D1224" s="602" t="s">
        <v>2698</v>
      </c>
      <c r="E1224" s="601" t="s">
        <v>2621</v>
      </c>
      <c r="F1224" s="601" t="s">
        <v>551</v>
      </c>
      <c r="G1224" s="601">
        <v>17.992999999999999</v>
      </c>
      <c r="H1224" s="601">
        <v>12.69</v>
      </c>
      <c r="I1224" s="601">
        <v>32.177999999999997</v>
      </c>
      <c r="J1224" s="601">
        <v>32.228999999999999</v>
      </c>
      <c r="K1224" s="601">
        <v>37.304000000000002</v>
      </c>
      <c r="L1224" s="601" t="s">
        <v>23</v>
      </c>
    </row>
    <row r="1225" spans="1:12" hidden="1">
      <c r="A1225" s="601" t="s">
        <v>2699</v>
      </c>
      <c r="B1225" s="601" t="str">
        <f t="shared" si="19"/>
        <v xml:space="preserve">CHRISTIAN </v>
      </c>
      <c r="C1225" s="601" t="str">
        <f>MID(Table3[[#This Row],[Statement Code]],FIND("- ",Table3[[#This Row],[Statement Code]])+2,100)</f>
        <v>ENTERPRISE VALUE</v>
      </c>
      <c r="D1225" s="602" t="s">
        <v>2700</v>
      </c>
      <c r="E1225" s="601" t="s">
        <v>2621</v>
      </c>
      <c r="F1225" s="601" t="s">
        <v>551</v>
      </c>
      <c r="G1225" s="601">
        <v>151076000</v>
      </c>
      <c r="H1225" s="601">
        <v>158619299</v>
      </c>
      <c r="I1225" s="601">
        <v>234646028</v>
      </c>
      <c r="J1225" s="601">
        <v>194649118</v>
      </c>
      <c r="K1225" s="601">
        <v>218648141</v>
      </c>
      <c r="L1225" s="601" t="s">
        <v>23</v>
      </c>
    </row>
    <row r="1226" spans="1:12">
      <c r="A1226" s="601" t="s">
        <v>2701</v>
      </c>
      <c r="B1226" s="601" t="str">
        <f t="shared" si="19"/>
        <v xml:space="preserve">CHRISTIAN </v>
      </c>
      <c r="C1226" s="601" t="str">
        <f>MID(Table3[[#This Row],[Statement Code]],FIND("- ",Table3[[#This Row],[Statement Code]])+2,100)</f>
        <v>GROSS INCOME</v>
      </c>
      <c r="D1226" s="602" t="s">
        <v>2702</v>
      </c>
      <c r="E1226" s="601" t="s">
        <v>2621</v>
      </c>
      <c r="F1226" s="601" t="s">
        <v>551</v>
      </c>
      <c r="G1226" s="601">
        <v>39311872</v>
      </c>
      <c r="H1226" s="601">
        <v>34131660</v>
      </c>
      <c r="I1226" s="601">
        <v>51479309</v>
      </c>
      <c r="J1226" s="601">
        <v>54359516</v>
      </c>
      <c r="K1226" s="601">
        <v>63283490</v>
      </c>
      <c r="L1226" s="601" t="s">
        <v>23</v>
      </c>
    </row>
    <row r="1227" spans="1:12">
      <c r="A1227" s="601" t="s">
        <v>2703</v>
      </c>
      <c r="B1227" s="601" t="str">
        <f t="shared" si="19"/>
        <v xml:space="preserve">CHRISTIAN </v>
      </c>
      <c r="C1227" s="601" t="str">
        <f>MID(Table3[[#This Row],[Statement Code]],FIND("- ",Table3[[#This Row],[Statement Code]])+2,100)</f>
        <v>INCOME TAXES</v>
      </c>
      <c r="D1227" s="602" t="s">
        <v>2704</v>
      </c>
      <c r="E1227" s="601" t="s">
        <v>2621</v>
      </c>
      <c r="F1227" s="601" t="s">
        <v>551</v>
      </c>
      <c r="G1227" s="601">
        <v>3178393</v>
      </c>
      <c r="H1227" s="601">
        <v>2828492</v>
      </c>
      <c r="I1227" s="601">
        <v>5318120</v>
      </c>
      <c r="J1227" s="601">
        <v>5409271</v>
      </c>
      <c r="K1227" s="601">
        <v>6092732</v>
      </c>
      <c r="L1227" s="601" t="s">
        <v>23</v>
      </c>
    </row>
    <row r="1228" spans="1:12" hidden="1">
      <c r="A1228" s="601" t="s">
        <v>2705</v>
      </c>
      <c r="B1228" s="601" t="str">
        <f t="shared" si="19"/>
        <v xml:space="preserve">CHRISTIAN </v>
      </c>
      <c r="C1228" s="601" t="str">
        <f>MID(Table3[[#This Row],[Statement Code]],FIND("- ",Table3[[#This Row],[Statement Code]])+2,100)</f>
        <v>INCREASE/DECREASE IN CASH/SHOR</v>
      </c>
      <c r="D1228" s="602" t="s">
        <v>2706</v>
      </c>
      <c r="E1228" s="601" t="s">
        <v>2621</v>
      </c>
      <c r="F1228" s="601" t="s">
        <v>551</v>
      </c>
      <c r="G1228" s="601">
        <v>-2730498</v>
      </c>
      <c r="H1228" s="601">
        <v>16976884</v>
      </c>
      <c r="I1228" s="601">
        <v>-14416789</v>
      </c>
      <c r="J1228" s="601">
        <v>-531599</v>
      </c>
      <c r="K1228" s="601">
        <v>296790</v>
      </c>
      <c r="L1228" s="601" t="s">
        <v>23</v>
      </c>
    </row>
    <row r="1229" spans="1:12">
      <c r="A1229" s="601" t="s">
        <v>2707</v>
      </c>
      <c r="B1229" s="601" t="str">
        <f t="shared" si="19"/>
        <v xml:space="preserve">CHRISTIAN </v>
      </c>
      <c r="C1229" s="601" t="str">
        <f>MID(Table3[[#This Row],[Statement Code]],FIND("- ",Table3[[#This Row],[Statement Code]])+2,100)</f>
        <v>INTEREST EXPENSE ON DEBT</v>
      </c>
      <c r="D1229" s="602" t="s">
        <v>2708</v>
      </c>
      <c r="E1229" s="601" t="s">
        <v>2621</v>
      </c>
      <c r="F1229" s="601" t="s">
        <v>551</v>
      </c>
      <c r="G1229" s="601">
        <v>499872</v>
      </c>
      <c r="H1229" s="601">
        <v>437616</v>
      </c>
      <c r="I1229" s="601">
        <v>284040</v>
      </c>
      <c r="J1229" s="601">
        <v>384156</v>
      </c>
      <c r="K1229" s="601">
        <v>1039832</v>
      </c>
      <c r="L1229" s="601" t="s">
        <v>23</v>
      </c>
    </row>
    <row r="1230" spans="1:12" hidden="1">
      <c r="A1230" s="601" t="s">
        <v>2709</v>
      </c>
      <c r="B1230" s="601" t="str">
        <f t="shared" si="19"/>
        <v xml:space="preserve">CHRISTIAN </v>
      </c>
      <c r="C1230" s="601" t="str">
        <f>MID(Table3[[#This Row],[Statement Code]],FIND("- ",Table3[[#This Row],[Statement Code]])+2,100)</f>
        <v>TOTAL INVENTORIES</v>
      </c>
      <c r="D1230" s="602" t="s">
        <v>2710</v>
      </c>
      <c r="E1230" s="601" t="s">
        <v>2621</v>
      </c>
      <c r="F1230" s="601" t="s">
        <v>551</v>
      </c>
      <c r="G1230" s="601">
        <v>15169802</v>
      </c>
      <c r="H1230" s="601">
        <v>15436334</v>
      </c>
      <c r="I1230" s="601">
        <v>19423873</v>
      </c>
      <c r="J1230" s="601">
        <v>20380305</v>
      </c>
      <c r="K1230" s="601">
        <v>24503309</v>
      </c>
      <c r="L1230" s="601" t="s">
        <v>23</v>
      </c>
    </row>
    <row r="1231" spans="1:12">
      <c r="A1231" s="601" t="s">
        <v>2711</v>
      </c>
      <c r="B1231" s="601" t="str">
        <f t="shared" si="19"/>
        <v xml:space="preserve">CHRISTIAN </v>
      </c>
      <c r="C1231" s="601" t="str">
        <f>MID(Table3[[#This Row],[Statement Code]],FIND("- ",Table3[[#This Row],[Statement Code]])+2,100)</f>
        <v>LONG TERM DEBT</v>
      </c>
      <c r="D1231" s="602" t="s">
        <v>2712</v>
      </c>
      <c r="E1231" s="601" t="s">
        <v>2621</v>
      </c>
      <c r="F1231" s="601" t="s">
        <v>551</v>
      </c>
      <c r="G1231" s="601">
        <v>17498853</v>
      </c>
      <c r="H1231" s="601">
        <v>29328560</v>
      </c>
      <c r="I1231" s="601">
        <v>28230286</v>
      </c>
      <c r="J1231" s="601">
        <v>23225864</v>
      </c>
      <c r="K1231" s="601">
        <v>26729233</v>
      </c>
      <c r="L1231" s="601" t="s">
        <v>23</v>
      </c>
    </row>
    <row r="1232" spans="1:12" hidden="1">
      <c r="A1232" s="601" t="s">
        <v>2713</v>
      </c>
      <c r="B1232" s="601" t="str">
        <f t="shared" si="19"/>
        <v xml:space="preserve">CHRISTIAN </v>
      </c>
      <c r="C1232" s="601" t="str">
        <f>MID(Table3[[#This Row],[Statement Code]],FIND("- ",Table3[[#This Row],[Statement Code]])+2,100)</f>
        <v>MARKET CAPITALIZATION</v>
      </c>
      <c r="D1232" s="602" t="s">
        <v>2714</v>
      </c>
      <c r="E1232" s="601" t="s">
        <v>2621</v>
      </c>
      <c r="F1232" s="601" t="s">
        <v>551</v>
      </c>
      <c r="G1232" s="601">
        <v>91139966</v>
      </c>
      <c r="H1232" s="601">
        <v>97265328</v>
      </c>
      <c r="I1232" s="601">
        <v>154578449</v>
      </c>
      <c r="J1232" s="601">
        <v>123230287</v>
      </c>
      <c r="K1232" s="601">
        <v>136267614</v>
      </c>
      <c r="L1232" s="601" t="s">
        <v>23</v>
      </c>
    </row>
    <row r="1233" spans="1:12" hidden="1">
      <c r="A1233" s="601" t="s">
        <v>2715</v>
      </c>
      <c r="B1233" s="601" t="str">
        <f t="shared" si="19"/>
        <v xml:space="preserve">CHRISTIAN </v>
      </c>
      <c r="C1233" s="601" t="str">
        <f>MID(Table3[[#This Row],[Statement Code]],FIND("- ",Table3[[#This Row],[Statement Code]])+2,100)</f>
        <v>NET CASH FLOW - FINANCING</v>
      </c>
      <c r="D1233" s="602" t="s">
        <v>2716</v>
      </c>
      <c r="E1233" s="601" t="s">
        <v>2621</v>
      </c>
      <c r="F1233" s="601" t="s">
        <v>551</v>
      </c>
      <c r="G1233" s="601">
        <v>-9243217</v>
      </c>
      <c r="H1233" s="601">
        <v>8815171</v>
      </c>
      <c r="I1233" s="601">
        <v>-18119872</v>
      </c>
      <c r="J1233" s="601">
        <v>-12532699</v>
      </c>
      <c r="K1233" s="601">
        <v>-10180531</v>
      </c>
      <c r="L1233" s="601" t="s">
        <v>23</v>
      </c>
    </row>
    <row r="1234" spans="1:12" hidden="1">
      <c r="A1234" s="601" t="s">
        <v>2717</v>
      </c>
      <c r="B1234" s="601" t="str">
        <f t="shared" si="19"/>
        <v xml:space="preserve">CHRISTIAN </v>
      </c>
      <c r="C1234" s="601" t="str">
        <f>MID(Table3[[#This Row],[Statement Code]],FIND("- ",Table3[[#This Row],[Statement Code]])+2,100)</f>
        <v>NET CASH FLOW - INVESTING</v>
      </c>
      <c r="D1234" s="602" t="s">
        <v>2718</v>
      </c>
      <c r="E1234" s="601" t="s">
        <v>2621</v>
      </c>
      <c r="F1234" s="601" t="s">
        <v>551</v>
      </c>
      <c r="G1234" s="601">
        <v>6499448</v>
      </c>
      <c r="H1234" s="601">
        <v>3499740</v>
      </c>
      <c r="I1234" s="601">
        <v>18766591</v>
      </c>
      <c r="J1234" s="601">
        <v>5944882</v>
      </c>
      <c r="K1234" s="601">
        <v>8877005</v>
      </c>
      <c r="L1234" s="601" t="s">
        <v>23</v>
      </c>
    </row>
    <row r="1235" spans="1:12" hidden="1">
      <c r="A1235" s="601" t="s">
        <v>2719</v>
      </c>
      <c r="B1235" s="601" t="str">
        <f t="shared" si="19"/>
        <v xml:space="preserve">CHRISTIAN </v>
      </c>
      <c r="C1235" s="601" t="str">
        <f>MID(Table3[[#This Row],[Statement Code]],FIND("- ",Table3[[#This Row],[Statement Code]])+2,100)</f>
        <v>NET CASH FLOW-OPERATING ACTIVS</v>
      </c>
      <c r="D1235" s="602" t="s">
        <v>2720</v>
      </c>
      <c r="E1235" s="601" t="s">
        <v>2621</v>
      </c>
      <c r="F1235" s="601" t="s">
        <v>551</v>
      </c>
      <c r="G1235" s="601">
        <v>12969036</v>
      </c>
      <c r="H1235" s="601">
        <v>12909073</v>
      </c>
      <c r="I1235" s="601">
        <v>21885162</v>
      </c>
      <c r="J1235" s="601">
        <v>17890816</v>
      </c>
      <c r="K1235" s="601">
        <v>19645778</v>
      </c>
      <c r="L1235" s="601" t="s">
        <v>23</v>
      </c>
    </row>
    <row r="1236" spans="1:12" hidden="1">
      <c r="A1236" s="601" t="s">
        <v>2721</v>
      </c>
      <c r="B1236" s="601" t="str">
        <f t="shared" si="19"/>
        <v xml:space="preserve">CHRISTIAN </v>
      </c>
      <c r="C1236" s="601" t="str">
        <f>MID(Table3[[#This Row],[Statement Code]],FIND("- ",Table3[[#This Row],[Statement Code]])+2,100)</f>
        <v>NET DEBT</v>
      </c>
      <c r="D1236" s="602" t="s">
        <v>2722</v>
      </c>
      <c r="E1236" s="601" t="s">
        <v>2621</v>
      </c>
      <c r="F1236" s="601" t="s">
        <v>551</v>
      </c>
      <c r="G1236" s="601">
        <v>20596514</v>
      </c>
      <c r="H1236" s="601">
        <v>18701256</v>
      </c>
      <c r="I1236" s="601">
        <v>27635211</v>
      </c>
      <c r="J1236" s="601">
        <v>23509718</v>
      </c>
      <c r="K1236" s="601">
        <v>28269764</v>
      </c>
      <c r="L1236" s="601" t="s">
        <v>23</v>
      </c>
    </row>
    <row r="1237" spans="1:12">
      <c r="A1237" s="601" t="s">
        <v>2723</v>
      </c>
      <c r="B1237" s="601" t="str">
        <f t="shared" si="19"/>
        <v xml:space="preserve">CHRISTIAN </v>
      </c>
      <c r="C1237" s="601" t="str">
        <f>MID(Table3[[#This Row],[Statement Code]],FIND("- ",Table3[[#This Row],[Statement Code]])+2,100)</f>
        <v>NET INCOME - DILUTED</v>
      </c>
      <c r="D1237" s="602" t="s">
        <v>2724</v>
      </c>
      <c r="E1237" s="601" t="s">
        <v>2621</v>
      </c>
      <c r="F1237" s="601" t="s">
        <v>551</v>
      </c>
      <c r="G1237" s="601">
        <v>3249171</v>
      </c>
      <c r="H1237" s="601">
        <v>2292443</v>
      </c>
      <c r="I1237" s="601">
        <v>5805213</v>
      </c>
      <c r="J1237" s="601">
        <v>5814490</v>
      </c>
      <c r="K1237" s="601">
        <v>6730083</v>
      </c>
      <c r="L1237" s="601" t="s">
        <v>23</v>
      </c>
    </row>
    <row r="1238" spans="1:12">
      <c r="A1238" s="601" t="s">
        <v>2725</v>
      </c>
      <c r="B1238" s="601" t="str">
        <f t="shared" si="19"/>
        <v xml:space="preserve">CHRISTIAN </v>
      </c>
      <c r="C1238" s="601" t="str">
        <f>MID(Table3[[#This Row],[Statement Code]],FIND("- ",Table3[[#This Row],[Statement Code]])+2,100)</f>
        <v>NET SALES OR REVENUES</v>
      </c>
      <c r="D1238" s="602" t="s">
        <v>2726</v>
      </c>
      <c r="E1238" s="601" t="s">
        <v>2621</v>
      </c>
      <c r="F1238" s="601" t="s">
        <v>551</v>
      </c>
      <c r="G1238" s="601">
        <v>59354324</v>
      </c>
      <c r="H1238" s="601">
        <v>52953883</v>
      </c>
      <c r="I1238" s="601">
        <v>75370356</v>
      </c>
      <c r="J1238" s="601">
        <v>79422907</v>
      </c>
      <c r="K1238" s="601">
        <v>91976020</v>
      </c>
      <c r="L1238" s="601" t="s">
        <v>23</v>
      </c>
    </row>
    <row r="1239" spans="1:12" hidden="1">
      <c r="A1239" s="601" t="s">
        <v>2727</v>
      </c>
      <c r="B1239" s="601" t="str">
        <f t="shared" si="19"/>
        <v xml:space="preserve">CHRISTIAN </v>
      </c>
      <c r="C1239" s="601" t="str">
        <f>MID(Table3[[#This Row],[Statement Code]],FIND("- ",Table3[[#This Row],[Statement Code]])+2,100)</f>
        <v>NON-OPERATING INTEREST INCOME</v>
      </c>
      <c r="D1239" s="602" t="s">
        <v>2728</v>
      </c>
      <c r="E1239" s="601" t="s">
        <v>2621</v>
      </c>
      <c r="F1239" s="601" t="s">
        <v>551</v>
      </c>
      <c r="G1239" s="601">
        <v>51978</v>
      </c>
      <c r="H1239" s="601">
        <v>54554</v>
      </c>
      <c r="I1239" s="601">
        <v>50470</v>
      </c>
      <c r="J1239" s="601">
        <v>116350</v>
      </c>
      <c r="K1239" s="601">
        <v>231667</v>
      </c>
      <c r="L1239" s="601" t="s">
        <v>23</v>
      </c>
    </row>
    <row r="1240" spans="1:12" hidden="1">
      <c r="A1240" s="601" t="s">
        <v>2729</v>
      </c>
      <c r="B1240" s="601" t="str">
        <f t="shared" si="19"/>
        <v xml:space="preserve">CHRISTIAN </v>
      </c>
      <c r="C1240" s="601" t="str">
        <f>MID(Table3[[#This Row],[Statement Code]],FIND("- ",Table3[[#This Row],[Statement Code]])+2,100)</f>
        <v>OPERATING EXPENSES - TOTAL</v>
      </c>
      <c r="D1240" s="602" t="s">
        <v>2730</v>
      </c>
      <c r="E1240" s="601" t="s">
        <v>2621</v>
      </c>
      <c r="F1240" s="601" t="s">
        <v>551</v>
      </c>
      <c r="G1240" s="601">
        <v>46791158</v>
      </c>
      <c r="H1240" s="601">
        <v>43102191</v>
      </c>
      <c r="I1240" s="601">
        <v>55289201</v>
      </c>
      <c r="J1240" s="601">
        <v>58350521</v>
      </c>
      <c r="K1240" s="601">
        <v>67661674</v>
      </c>
      <c r="L1240" s="601" t="s">
        <v>23</v>
      </c>
    </row>
    <row r="1241" spans="1:12">
      <c r="A1241" s="601" t="s">
        <v>2731</v>
      </c>
      <c r="B1241" s="601" t="str">
        <f t="shared" si="19"/>
        <v xml:space="preserve">CHRISTIAN </v>
      </c>
      <c r="C1241" s="601" t="str">
        <f>MID(Table3[[#This Row],[Statement Code]],FIND("- ",Table3[[#This Row],[Statement Code]])+2,100)</f>
        <v>OPERATING INCOME</v>
      </c>
      <c r="D1241" s="602" t="s">
        <v>2732</v>
      </c>
      <c r="E1241" s="601" t="s">
        <v>2621</v>
      </c>
      <c r="F1241" s="601" t="s">
        <v>551</v>
      </c>
      <c r="G1241" s="601">
        <v>12563166</v>
      </c>
      <c r="H1241" s="601">
        <v>9851692</v>
      </c>
      <c r="I1241" s="601">
        <v>20081156</v>
      </c>
      <c r="J1241" s="601">
        <v>21072387</v>
      </c>
      <c r="K1241" s="601">
        <v>24314346</v>
      </c>
      <c r="L1241" s="601" t="s">
        <v>23</v>
      </c>
    </row>
    <row r="1242" spans="1:12" hidden="1">
      <c r="A1242" s="601" t="s">
        <v>2733</v>
      </c>
      <c r="B1242" s="601" t="str">
        <f t="shared" si="19"/>
        <v xml:space="preserve">CHRISTIAN </v>
      </c>
      <c r="C1242" s="601" t="str">
        <f>MID(Table3[[#This Row],[Statement Code]],FIND("- ",Table3[[#This Row],[Statement Code]])+2,100)</f>
        <v>PRETAX INCOME</v>
      </c>
      <c r="D1242" s="602" t="s">
        <v>2734</v>
      </c>
      <c r="E1242" s="601" t="s">
        <v>2621</v>
      </c>
      <c r="F1242" s="601" t="s">
        <v>551</v>
      </c>
      <c r="G1242" s="601">
        <v>11815569</v>
      </c>
      <c r="H1242" s="601">
        <v>8723853</v>
      </c>
      <c r="I1242" s="601">
        <v>20182096</v>
      </c>
      <c r="J1242" s="601">
        <v>20155629</v>
      </c>
      <c r="K1242" s="601">
        <v>23089821</v>
      </c>
      <c r="L1242" s="601" t="s">
        <v>23</v>
      </c>
    </row>
    <row r="1243" spans="1:12" hidden="1">
      <c r="A1243" s="601" t="s">
        <v>2735</v>
      </c>
      <c r="B1243" s="601" t="str">
        <f t="shared" si="19"/>
        <v xml:space="preserve">CHRISTIAN </v>
      </c>
      <c r="C1243" s="601" t="str">
        <f>MID(Table3[[#This Row],[Statement Code]],FIND("- ",Table3[[#This Row],[Statement Code]])+2,100)</f>
        <v>PROPERTY, PLANT &amp; EQUIP - NET</v>
      </c>
      <c r="D1243" s="602" t="s">
        <v>2736</v>
      </c>
      <c r="E1243" s="601" t="s">
        <v>2621</v>
      </c>
      <c r="F1243" s="601" t="s">
        <v>551</v>
      </c>
      <c r="G1243" s="601">
        <v>33494772</v>
      </c>
      <c r="H1243" s="601">
        <v>35685255</v>
      </c>
      <c r="I1243" s="601">
        <v>39016762</v>
      </c>
      <c r="J1243" s="601">
        <v>37134703</v>
      </c>
      <c r="K1243" s="601">
        <v>45233758</v>
      </c>
      <c r="L1243" s="601" t="s">
        <v>23</v>
      </c>
    </row>
    <row r="1244" spans="1:12" hidden="1">
      <c r="A1244" s="601" t="s">
        <v>2737</v>
      </c>
      <c r="B1244" s="601" t="str">
        <f t="shared" si="19"/>
        <v xml:space="preserve">CHRISTIAN </v>
      </c>
      <c r="C1244" s="601" t="str">
        <f>MID(Table3[[#This Row],[Statement Code]],FIND("- ",Table3[[#This Row],[Statement Code]])+2,100)</f>
        <v>RECEIVABLES(NET)</v>
      </c>
      <c r="D1244" s="602" t="s">
        <v>2738</v>
      </c>
      <c r="E1244" s="601" t="s">
        <v>2621</v>
      </c>
      <c r="F1244" s="601" t="s">
        <v>551</v>
      </c>
      <c r="G1244" s="601">
        <v>6082519</v>
      </c>
      <c r="H1244" s="601">
        <v>5558551</v>
      </c>
      <c r="I1244" s="601">
        <v>7173770</v>
      </c>
      <c r="J1244" s="601">
        <v>7131452</v>
      </c>
      <c r="K1244" s="601">
        <v>8480929</v>
      </c>
      <c r="L1244" s="601" t="s">
        <v>23</v>
      </c>
    </row>
    <row r="1245" spans="1:12" hidden="1">
      <c r="A1245" s="601" t="s">
        <v>2739</v>
      </c>
      <c r="B1245" s="601" t="str">
        <f t="shared" si="19"/>
        <v xml:space="preserve">CHRISTIAN </v>
      </c>
      <c r="C1245" s="601" t="str">
        <f>MID(Table3[[#This Row],[Statement Code]],FIND("- ",Table3[[#This Row],[Statement Code]])+2,100)</f>
        <v>RESEARCH &amp; DEVELOPMENT</v>
      </c>
      <c r="D1245" s="602" t="s">
        <v>2740</v>
      </c>
      <c r="E1245" s="601" t="s">
        <v>2621</v>
      </c>
      <c r="F1245" s="601" t="s">
        <v>551</v>
      </c>
      <c r="G1245" s="601">
        <v>154828</v>
      </c>
      <c r="H1245" s="601">
        <v>164847</v>
      </c>
      <c r="I1245" s="601">
        <v>172537</v>
      </c>
      <c r="J1245" s="601">
        <v>172519</v>
      </c>
      <c r="K1245" s="601">
        <v>215653</v>
      </c>
      <c r="L1245" s="601" t="s">
        <v>23</v>
      </c>
    </row>
    <row r="1246" spans="1:12">
      <c r="A1246" s="601" t="s">
        <v>2741</v>
      </c>
      <c r="B1246" s="601" t="str">
        <f t="shared" si="19"/>
        <v xml:space="preserve">CHRISTIAN </v>
      </c>
      <c r="C1246" s="601" t="str">
        <f>MID(Table3[[#This Row],[Statement Code]],FIND("- ",Table3[[#This Row],[Statement Code]])+2,100)</f>
        <v>SELLING, GENERAL &amp; ADMINISTRAT</v>
      </c>
      <c r="D1246" s="602" t="s">
        <v>2742</v>
      </c>
      <c r="E1246" s="601" t="s">
        <v>2621</v>
      </c>
      <c r="F1246" s="601" t="s">
        <v>551</v>
      </c>
      <c r="G1246" s="601">
        <v>26633691</v>
      </c>
      <c r="H1246" s="601">
        <v>24238460</v>
      </c>
      <c r="I1246" s="601">
        <v>31377026</v>
      </c>
      <c r="J1246" s="601">
        <v>33283117</v>
      </c>
      <c r="K1246" s="601">
        <v>38954198</v>
      </c>
      <c r="L1246" s="601" t="s">
        <v>23</v>
      </c>
    </row>
    <row r="1247" spans="1:12" hidden="1">
      <c r="A1247" s="601" t="s">
        <v>2743</v>
      </c>
      <c r="B1247" s="601" t="str">
        <f t="shared" si="19"/>
        <v xml:space="preserve">CHRISTIAN </v>
      </c>
      <c r="C1247" s="601" t="str">
        <f>MID(Table3[[#This Row],[Statement Code]],FIND("- ",Table3[[#This Row],[Statement Code]])+2,100)</f>
        <v>SHORT TERM DEBT &amp; CURRENT PORT</v>
      </c>
      <c r="D1247" s="602" t="s">
        <v>2744</v>
      </c>
      <c r="E1247" s="601" t="s">
        <v>2621</v>
      </c>
      <c r="F1247" s="601" t="s">
        <v>551</v>
      </c>
      <c r="G1247" s="601">
        <v>10811401</v>
      </c>
      <c r="H1247" s="601">
        <v>15556115</v>
      </c>
      <c r="I1247" s="601">
        <v>12226629</v>
      </c>
      <c r="J1247" s="601">
        <v>11983046</v>
      </c>
      <c r="K1247" s="601">
        <v>14374022</v>
      </c>
      <c r="L1247" s="601" t="s">
        <v>23</v>
      </c>
    </row>
    <row r="1248" spans="1:12">
      <c r="A1248" s="601" t="s">
        <v>2745</v>
      </c>
      <c r="B1248" s="601" t="str">
        <f t="shared" si="19"/>
        <v xml:space="preserve">CHRISTIAN </v>
      </c>
      <c r="C1248" s="601" t="str">
        <f>MID(Table3[[#This Row],[Statement Code]],FIND("- ",Table3[[#This Row],[Statement Code]])+2,100)</f>
        <v>TOTAL ASSETS</v>
      </c>
      <c r="D1248" s="602" t="s">
        <v>2746</v>
      </c>
      <c r="E1248" s="601" t="s">
        <v>2621</v>
      </c>
      <c r="F1248" s="601" t="s">
        <v>551</v>
      </c>
      <c r="G1248" s="601">
        <v>101252925</v>
      </c>
      <c r="H1248" s="601">
        <v>122973595</v>
      </c>
      <c r="I1248" s="601">
        <v>139907288</v>
      </c>
      <c r="J1248" s="601">
        <v>128677066</v>
      </c>
      <c r="K1248" s="601">
        <v>146132689</v>
      </c>
      <c r="L1248" s="601" t="s">
        <v>23</v>
      </c>
    </row>
    <row r="1249" spans="1:12" hidden="1">
      <c r="A1249" s="601" t="s">
        <v>2747</v>
      </c>
      <c r="B1249" s="601" t="str">
        <f t="shared" si="19"/>
        <v xml:space="preserve">CHRISTIAN </v>
      </c>
      <c r="C1249" s="601" t="str">
        <f>MID(Table3[[#This Row],[Statement Code]],FIND("- ",Table3[[#This Row],[Statement Code]])+2,100)</f>
        <v>TOTAL CAPITAL</v>
      </c>
      <c r="D1249" s="602" t="s">
        <v>2748</v>
      </c>
      <c r="E1249" s="601" t="s">
        <v>2621</v>
      </c>
      <c r="F1249" s="601" t="s">
        <v>551</v>
      </c>
      <c r="G1249" s="601">
        <v>68870701</v>
      </c>
      <c r="H1249" s="601">
        <v>85346939</v>
      </c>
      <c r="I1249" s="601">
        <v>98705061</v>
      </c>
      <c r="J1249" s="601">
        <v>90230417</v>
      </c>
      <c r="K1249" s="601">
        <v>103821990</v>
      </c>
      <c r="L1249" s="601" t="s">
        <v>23</v>
      </c>
    </row>
    <row r="1250" spans="1:12">
      <c r="A1250" s="601" t="s">
        <v>2749</v>
      </c>
      <c r="B1250" s="601" t="str">
        <f t="shared" si="19"/>
        <v xml:space="preserve">CHRISTIAN </v>
      </c>
      <c r="C1250" s="601" t="str">
        <f>MID(Table3[[#This Row],[Statement Code]],FIND("- ",Table3[[#This Row],[Statement Code]])+2,100)</f>
        <v>TOTAL DEBT</v>
      </c>
      <c r="D1250" s="602" t="s">
        <v>2750</v>
      </c>
      <c r="E1250" s="601" t="s">
        <v>2621</v>
      </c>
      <c r="F1250" s="601" t="s">
        <v>551</v>
      </c>
      <c r="G1250" s="601">
        <v>28310254</v>
      </c>
      <c r="H1250" s="601">
        <v>44884675</v>
      </c>
      <c r="I1250" s="601">
        <v>40456915</v>
      </c>
      <c r="J1250" s="601">
        <v>35208910</v>
      </c>
      <c r="K1250" s="601">
        <v>41103255</v>
      </c>
      <c r="L1250" s="601" t="s">
        <v>23</v>
      </c>
    </row>
    <row r="1251" spans="1:12" hidden="1">
      <c r="A1251" s="601" t="s">
        <v>2751</v>
      </c>
      <c r="B1251" s="601" t="str">
        <f t="shared" si="19"/>
        <v xml:space="preserve">CHRISTIAN </v>
      </c>
      <c r="C1251" s="601" t="str">
        <f>MID(Table3[[#This Row],[Statement Code]],FIND("- ",Table3[[#This Row],[Statement Code]])+2,100)</f>
        <v>TOTAL INTANGIBLE OT ASSETS-NET</v>
      </c>
      <c r="D1251" s="602" t="s">
        <v>2752</v>
      </c>
      <c r="E1251" s="601" t="s">
        <v>2621</v>
      </c>
      <c r="F1251" s="601" t="s">
        <v>551</v>
      </c>
      <c r="G1251" s="601">
        <v>34100812</v>
      </c>
      <c r="H1251" s="601">
        <v>36350574</v>
      </c>
      <c r="I1251" s="601">
        <v>56403060</v>
      </c>
      <c r="J1251" s="601">
        <v>47959263</v>
      </c>
      <c r="K1251" s="601">
        <v>50407296</v>
      </c>
      <c r="L1251" s="601" t="s">
        <v>23</v>
      </c>
    </row>
    <row r="1252" spans="1:12">
      <c r="A1252" s="601" t="s">
        <v>2753</v>
      </c>
      <c r="B1252" s="601" t="str">
        <f t="shared" si="19"/>
        <v xml:space="preserve">CHRISTIAN </v>
      </c>
      <c r="C1252" s="601" t="str">
        <f>MID(Table3[[#This Row],[Statement Code]],FIND("- ",Table3[[#This Row],[Statement Code]])+2,100)</f>
        <v>TOTAL LIABILITIES</v>
      </c>
      <c r="D1252" s="602" t="s">
        <v>2754</v>
      </c>
      <c r="E1252" s="601" t="s">
        <v>2621</v>
      </c>
      <c r="F1252" s="601" t="s">
        <v>551</v>
      </c>
      <c r="G1252" s="601">
        <v>49881077</v>
      </c>
      <c r="H1252" s="601">
        <v>66955216</v>
      </c>
      <c r="I1252" s="601">
        <v>69432513</v>
      </c>
      <c r="J1252" s="601">
        <v>61672514</v>
      </c>
      <c r="K1252" s="601">
        <v>69039931</v>
      </c>
      <c r="L1252" s="601" t="s">
        <v>23</v>
      </c>
    </row>
    <row r="1253" spans="1:12" hidden="1">
      <c r="A1253" s="601" t="s">
        <v>2755</v>
      </c>
      <c r="B1253" s="601" t="str">
        <f t="shared" si="19"/>
        <v xml:space="preserve">CHRISTIAN </v>
      </c>
      <c r="C1253" s="601" t="str">
        <f>MID(Table3[[#This Row],[Statement Code]],FIND("- ",Table3[[#This Row],[Statement Code]])+2,100)</f>
        <v>TOTAL LIABILITIES &amp; SHAREHOLDE</v>
      </c>
      <c r="D1253" s="602" t="s">
        <v>2756</v>
      </c>
      <c r="E1253" s="601" t="s">
        <v>2621</v>
      </c>
      <c r="F1253" s="601" t="s">
        <v>551</v>
      </c>
      <c r="G1253" s="601">
        <v>101252925</v>
      </c>
      <c r="H1253" s="601">
        <v>122973595</v>
      </c>
      <c r="I1253" s="601">
        <v>139907288</v>
      </c>
      <c r="J1253" s="601">
        <v>128677066</v>
      </c>
      <c r="K1253" s="601">
        <v>146132689</v>
      </c>
      <c r="L1253" s="601" t="s">
        <v>23</v>
      </c>
    </row>
    <row r="1254" spans="1:12" hidden="1">
      <c r="A1254" s="601" t="s">
        <v>2757</v>
      </c>
      <c r="B1254" s="601" t="str">
        <f t="shared" si="19"/>
        <v xml:space="preserve">CHRISTIAN </v>
      </c>
      <c r="C1254" s="601" t="str">
        <f>MID(Table3[[#This Row],[Statement Code]],FIND("- ",Table3[[#This Row],[Statement Code]])+2,100)</f>
        <v>TOTAL SHAREHOLDERS EQUITY</v>
      </c>
      <c r="D1254" s="602" t="s">
        <v>2758</v>
      </c>
      <c r="E1254" s="601" t="s">
        <v>2621</v>
      </c>
      <c r="F1254" s="601" t="s">
        <v>551</v>
      </c>
      <c r="G1254" s="601">
        <v>12032328</v>
      </c>
      <c r="H1254" s="601">
        <v>13365664</v>
      </c>
      <c r="I1254" s="601">
        <v>18042406</v>
      </c>
      <c r="J1254" s="601">
        <v>19095440</v>
      </c>
      <c r="K1254" s="601">
        <v>22981995</v>
      </c>
      <c r="L1254" s="601" t="s">
        <v>23</v>
      </c>
    </row>
    <row r="1255" spans="1:12" hidden="1">
      <c r="A1255" s="601" t="s">
        <v>2759</v>
      </c>
      <c r="B1255" s="601" t="str">
        <f t="shared" si="19"/>
        <v xml:space="preserve">CHRISTIAN </v>
      </c>
      <c r="C1255" s="601" t="str">
        <f>MID(Table3[[#This Row],[Statement Code]],FIND("- ",Table3[[#This Row],[Statement Code]])+2,100)</f>
        <v>WORKING CAPITAL</v>
      </c>
      <c r="D1255" s="602" t="s">
        <v>2760</v>
      </c>
      <c r="E1255" s="601" t="s">
        <v>2621</v>
      </c>
      <c r="F1255" s="601" t="s">
        <v>551</v>
      </c>
      <c r="G1255" s="601">
        <v>4696810</v>
      </c>
      <c r="H1255" s="601">
        <v>17423987</v>
      </c>
      <c r="I1255" s="601">
        <v>7498890</v>
      </c>
      <c r="J1255" s="601">
        <v>8542697</v>
      </c>
      <c r="K1255" s="601">
        <v>11486193</v>
      </c>
      <c r="L1255" s="601" t="s">
        <v>23</v>
      </c>
    </row>
    <row r="1256" spans="1:12" hidden="1">
      <c r="A1256" s="601" t="s">
        <v>2761</v>
      </c>
      <c r="B1256" s="601" t="str">
        <f t="shared" si="19"/>
        <v xml:space="preserve">CHRISTIAN </v>
      </c>
      <c r="C1256" s="601" t="str">
        <f>MID(Table3[[#This Row],[Statement Code]],FIND("- ",Table3[[#This Row],[Statement Code]])+2,100)</f>
        <v>BK VAL PS 12M FWD</v>
      </c>
      <c r="D1256" s="602" t="s">
        <v>2762</v>
      </c>
      <c r="E1256" s="601" t="s">
        <v>2621</v>
      </c>
      <c r="F1256" s="601" t="s">
        <v>551</v>
      </c>
      <c r="G1256" s="601">
        <v>102.89</v>
      </c>
      <c r="H1256" s="601">
        <v>84.4</v>
      </c>
      <c r="I1256" s="601">
        <v>88.62</v>
      </c>
      <c r="J1256" s="601" t="s">
        <v>23</v>
      </c>
      <c r="K1256" s="601" t="s">
        <v>23</v>
      </c>
      <c r="L1256" s="601" t="s">
        <v>23</v>
      </c>
    </row>
    <row r="1257" spans="1:12" hidden="1">
      <c r="A1257" s="601" t="s">
        <v>2763</v>
      </c>
      <c r="B1257" s="601" t="str">
        <f t="shared" si="19"/>
        <v xml:space="preserve">CHRISTIAN </v>
      </c>
      <c r="C1257" s="601" t="str">
        <f>MID(Table3[[#This Row],[Statement Code]],FIND("- ",Table3[[#This Row],[Statement Code]])+2,100)</f>
        <v>EV 12M FWD</v>
      </c>
      <c r="D1257" s="602" t="s">
        <v>2764</v>
      </c>
      <c r="E1257" s="601" t="s">
        <v>2621</v>
      </c>
      <c r="F1257" s="601" t="s">
        <v>551</v>
      </c>
      <c r="G1257" s="601">
        <v>116290025.8</v>
      </c>
      <c r="H1257" s="601">
        <v>124281632.7</v>
      </c>
      <c r="I1257" s="601">
        <v>113322931.40000001</v>
      </c>
      <c r="J1257" s="601" t="s">
        <v>23</v>
      </c>
      <c r="K1257" s="601" t="s">
        <v>23</v>
      </c>
      <c r="L1257" s="601" t="s">
        <v>23</v>
      </c>
    </row>
    <row r="1258" spans="1:12" hidden="1">
      <c r="A1258" s="601" t="s">
        <v>2765</v>
      </c>
      <c r="B1258" s="601" t="str">
        <f t="shared" si="19"/>
        <v xml:space="preserve">CHRISTIAN </v>
      </c>
      <c r="C1258" s="601" t="str">
        <f>MID(Table3[[#This Row],[Statement Code]],FIND("- ",Table3[[#This Row],[Statement Code]])+2,100)</f>
        <v>NET INCOME 12M FWD</v>
      </c>
      <c r="D1258" s="602" t="s">
        <v>2766</v>
      </c>
      <c r="E1258" s="601" t="s">
        <v>2621</v>
      </c>
      <c r="F1258" s="601" t="s">
        <v>551</v>
      </c>
      <c r="G1258" s="601">
        <v>3540394.18</v>
      </c>
      <c r="H1258" s="601">
        <v>2980590.49</v>
      </c>
      <c r="I1258" s="601">
        <v>3424520.78</v>
      </c>
      <c r="J1258" s="601" t="s">
        <v>23</v>
      </c>
      <c r="K1258" s="601" t="s">
        <v>23</v>
      </c>
      <c r="L1258" s="601" t="s">
        <v>23</v>
      </c>
    </row>
    <row r="1259" spans="1:12" hidden="1">
      <c r="A1259" s="601" t="s">
        <v>2767</v>
      </c>
      <c r="B1259" s="601" t="str">
        <f t="shared" si="19"/>
        <v xml:space="preserve">CHRISTIAN </v>
      </c>
      <c r="C1259" s="601" t="str">
        <f>MID(Table3[[#This Row],[Statement Code]],FIND("- ",Table3[[#This Row],[Statement Code]])+2,100)</f>
        <v>PRETAX PRF 12M FWD</v>
      </c>
      <c r="D1259" s="602" t="s">
        <v>2768</v>
      </c>
      <c r="E1259" s="601" t="s">
        <v>2621</v>
      </c>
      <c r="F1259" s="601" t="s">
        <v>551</v>
      </c>
      <c r="G1259" s="601">
        <v>13244040.92</v>
      </c>
      <c r="H1259" s="601">
        <v>11040014.66</v>
      </c>
      <c r="I1259" s="601">
        <v>12468805.109999999</v>
      </c>
      <c r="J1259" s="601" t="s">
        <v>23</v>
      </c>
      <c r="K1259" s="601" t="s">
        <v>23</v>
      </c>
      <c r="L1259" s="601" t="s">
        <v>23</v>
      </c>
    </row>
    <row r="1260" spans="1:12" hidden="1">
      <c r="A1260" s="601" t="s">
        <v>2769</v>
      </c>
      <c r="B1260" s="601" t="str">
        <f t="shared" si="19"/>
        <v xml:space="preserve">CHRISTIAN </v>
      </c>
      <c r="C1260" s="601" t="str">
        <f>MID(Table3[[#This Row],[Statement Code]],FIND("- ",Table3[[#This Row],[Statement Code]])+2,100)</f>
        <v>ROE 12M FWD</v>
      </c>
      <c r="D1260" s="602" t="s">
        <v>2770</v>
      </c>
      <c r="E1260" s="601" t="s">
        <v>2621</v>
      </c>
      <c r="F1260" s="601" t="s">
        <v>551</v>
      </c>
      <c r="G1260" s="601">
        <v>22.27</v>
      </c>
      <c r="H1260" s="601">
        <v>24.43</v>
      </c>
      <c r="I1260" s="601">
        <v>26.86</v>
      </c>
      <c r="J1260" s="601" t="s">
        <v>23</v>
      </c>
      <c r="K1260" s="601" t="s">
        <v>23</v>
      </c>
      <c r="L1260" s="601" t="s">
        <v>23</v>
      </c>
    </row>
    <row r="1261" spans="1:12" hidden="1">
      <c r="A1261" s="601" t="s">
        <v>2771</v>
      </c>
      <c r="B1261" s="601" t="str">
        <f t="shared" si="19"/>
        <v xml:space="preserve">CHRISTIAN </v>
      </c>
      <c r="C1261" s="601" t="str">
        <f>MID(Table3[[#This Row],[Statement Code]],FIND("- ",Table3[[#This Row],[Statement Code]])+2,100)</f>
        <v>SALES 12M FWD</v>
      </c>
      <c r="D1261" s="602" t="s">
        <v>2772</v>
      </c>
      <c r="E1261" s="601" t="s">
        <v>2621</v>
      </c>
      <c r="F1261" s="601" t="s">
        <v>551</v>
      </c>
      <c r="G1261" s="601">
        <v>62071559.649999999</v>
      </c>
      <c r="H1261" s="601">
        <v>62446241.32</v>
      </c>
      <c r="I1261" s="601">
        <v>65862247.810000002</v>
      </c>
      <c r="J1261" s="601" t="s">
        <v>23</v>
      </c>
      <c r="K1261" s="601" t="s">
        <v>23</v>
      </c>
      <c r="L1261" s="601" t="s">
        <v>23</v>
      </c>
    </row>
    <row r="1262" spans="1:12" hidden="1">
      <c r="A1262" s="601" t="s">
        <v>2773</v>
      </c>
      <c r="B1262" s="601" t="str">
        <f t="shared" si="19"/>
        <v xml:space="preserve">CHRISTIAN </v>
      </c>
      <c r="C1262" s="601" t="str">
        <f>MID(Table3[[#This Row],[Statement Code]],FIND("- ",Table3[[#This Row],[Statement Code]])+2,100)</f>
        <v>DECREASE/INCREASE RECEIVABLES</v>
      </c>
      <c r="D1262" s="602" t="s">
        <v>2774</v>
      </c>
      <c r="E1262" s="601" t="s">
        <v>2621</v>
      </c>
      <c r="F1262" s="601" t="s">
        <v>551</v>
      </c>
      <c r="G1262" s="601">
        <v>-123862</v>
      </c>
      <c r="H1262" s="601">
        <v>614322</v>
      </c>
      <c r="I1262" s="601">
        <v>-687799</v>
      </c>
      <c r="J1262" s="601">
        <v>-389171</v>
      </c>
      <c r="K1262" s="601">
        <v>-716352</v>
      </c>
      <c r="L1262" s="601" t="s">
        <v>23</v>
      </c>
    </row>
    <row r="1263" spans="1:12" hidden="1">
      <c r="A1263" s="601" t="s">
        <v>2775</v>
      </c>
      <c r="B1263" s="601" t="str">
        <f t="shared" si="19"/>
        <v xml:space="preserve">CHRISTIAN </v>
      </c>
      <c r="C1263" s="601" t="str">
        <f>MID(Table3[[#This Row],[Statement Code]],FIND("- ",Table3[[#This Row],[Statement Code]])+2,100)</f>
        <v>DECREASE/INCR OTH ASTS/LIABILT</v>
      </c>
      <c r="D1263" s="602" t="s">
        <v>2776</v>
      </c>
      <c r="E1263" s="601" t="s">
        <v>2621</v>
      </c>
      <c r="F1263" s="601" t="s">
        <v>551</v>
      </c>
      <c r="G1263" s="601">
        <v>109485</v>
      </c>
      <c r="H1263" s="601">
        <v>278698</v>
      </c>
      <c r="I1263" s="601">
        <v>1176066</v>
      </c>
      <c r="J1263" s="601">
        <v>8024</v>
      </c>
      <c r="K1263" s="601">
        <v>-114232</v>
      </c>
      <c r="L1263" s="601" t="s">
        <v>23</v>
      </c>
    </row>
    <row r="1264" spans="1:12" hidden="1">
      <c r="A1264" s="601" t="s">
        <v>2777</v>
      </c>
      <c r="B1264" s="601" t="str">
        <f t="shared" si="19"/>
        <v xml:space="preserve">CHRISTIAN </v>
      </c>
      <c r="C1264" s="601" t="str">
        <f>MID(Table3[[#This Row],[Statement Code]],FIND("- ",Table3[[#This Row],[Statement Code]])+2,100)</f>
        <v>DECREASE/INCREASE INVENTORIES</v>
      </c>
      <c r="D1264" s="602" t="s">
        <v>2778</v>
      </c>
      <c r="E1264" s="601" t="s">
        <v>2621</v>
      </c>
      <c r="F1264" s="601" t="s">
        <v>551</v>
      </c>
      <c r="G1264" s="601">
        <v>-1773884</v>
      </c>
      <c r="H1264" s="601">
        <v>-666504</v>
      </c>
      <c r="I1264" s="601">
        <v>-1839217</v>
      </c>
      <c r="J1264" s="601">
        <v>-4181578</v>
      </c>
      <c r="K1264" s="601">
        <v>-4515903</v>
      </c>
      <c r="L1264" s="601" t="s">
        <v>23</v>
      </c>
    </row>
    <row r="1265" spans="1:12" hidden="1">
      <c r="A1265" s="601" t="s">
        <v>2779</v>
      </c>
      <c r="B1265" s="601" t="str">
        <f t="shared" si="19"/>
        <v xml:space="preserve">CHRISTIAN </v>
      </c>
      <c r="C1265" s="601" t="str">
        <f>MID(Table3[[#This Row],[Statement Code]],FIND("- ",Table3[[#This Row],[Statement Code]])+2,100)</f>
        <v>DECREASE IN INVESTMENTS</v>
      </c>
      <c r="D1265" s="602" t="s">
        <v>2780</v>
      </c>
      <c r="E1265" s="601" t="s">
        <v>2621</v>
      </c>
      <c r="F1265" s="601" t="s">
        <v>551</v>
      </c>
      <c r="G1265" s="601">
        <v>0</v>
      </c>
      <c r="H1265" s="601">
        <v>74715</v>
      </c>
      <c r="I1265" s="601">
        <v>0</v>
      </c>
      <c r="J1265" s="601">
        <v>0</v>
      </c>
      <c r="K1265" s="601">
        <v>0</v>
      </c>
      <c r="L1265" s="601" t="s">
        <v>23</v>
      </c>
    </row>
    <row r="1266" spans="1:12" hidden="1">
      <c r="A1266" s="601" t="s">
        <v>2781</v>
      </c>
      <c r="B1266" s="601" t="str">
        <f t="shared" si="19"/>
        <v xml:space="preserve">PRADA </v>
      </c>
      <c r="C1266" s="601" t="str">
        <f>MID(Table3[[#This Row],[Statement Code]],FIND("- ",Table3[[#This Row],[Statement Code]])+2,100)</f>
        <v>MARKET VALUE</v>
      </c>
      <c r="D1266" s="602" t="s">
        <v>2782</v>
      </c>
      <c r="E1266" s="601" t="s">
        <v>2783</v>
      </c>
      <c r="F1266" s="601" t="s">
        <v>551</v>
      </c>
      <c r="G1266" s="601">
        <v>8367.9599999999991</v>
      </c>
      <c r="H1266" s="601">
        <v>10416.82</v>
      </c>
      <c r="I1266" s="601">
        <v>14389.09</v>
      </c>
      <c r="J1266" s="601">
        <v>13625.95</v>
      </c>
      <c r="K1266" s="601">
        <v>15935.23</v>
      </c>
      <c r="L1266" s="601">
        <v>16368.63</v>
      </c>
    </row>
    <row r="1267" spans="1:12" hidden="1">
      <c r="A1267" s="601" t="s">
        <v>2784</v>
      </c>
      <c r="B1267" s="601" t="str">
        <f t="shared" si="19"/>
        <v xml:space="preserve">PRADA </v>
      </c>
      <c r="C1267" s="601" t="str">
        <f>MID(Table3[[#This Row],[Statement Code]],FIND("- ",Table3[[#This Row],[Statement Code]])+2,100)</f>
        <v>PER</v>
      </c>
      <c r="D1267" s="602" t="s">
        <v>2785</v>
      </c>
      <c r="E1267" s="601" t="s">
        <v>2783</v>
      </c>
      <c r="F1267" s="601" t="s">
        <v>2786</v>
      </c>
      <c r="G1267" s="601">
        <v>29.7</v>
      </c>
      <c r="H1267" s="601" t="s">
        <v>23</v>
      </c>
      <c r="I1267" s="601">
        <v>54.3</v>
      </c>
      <c r="J1267" s="601">
        <v>34.799999999999997</v>
      </c>
      <c r="K1267" s="601">
        <v>25</v>
      </c>
      <c r="L1267" s="601">
        <v>20.2</v>
      </c>
    </row>
    <row r="1268" spans="1:12" hidden="1">
      <c r="A1268" s="601" t="s">
        <v>2787</v>
      </c>
      <c r="B1268" s="601" t="str">
        <f t="shared" si="19"/>
        <v xml:space="preserve">PRADA </v>
      </c>
      <c r="C1268" s="601" t="str">
        <f>MID(Table3[[#This Row],[Statement Code]],FIND("- ",Table3[[#This Row],[Statement Code]])+2,100)</f>
        <v>12MTH FORWARD EPS</v>
      </c>
      <c r="D1268" s="602" t="s">
        <v>2788</v>
      </c>
      <c r="E1268" s="601" t="s">
        <v>2783</v>
      </c>
      <c r="F1268" s="601" t="s">
        <v>551</v>
      </c>
      <c r="G1268" s="601">
        <v>0.111</v>
      </c>
      <c r="H1268" s="601">
        <v>4.7E-2</v>
      </c>
      <c r="I1268" s="601">
        <v>0.14099999999999999</v>
      </c>
      <c r="J1268" s="601">
        <v>0.20100000000000001</v>
      </c>
      <c r="K1268" s="601">
        <v>0.31</v>
      </c>
      <c r="L1268" s="601">
        <v>0.38200000000000001</v>
      </c>
    </row>
    <row r="1269" spans="1:12" hidden="1">
      <c r="A1269" s="601" t="s">
        <v>2789</v>
      </c>
      <c r="B1269" s="601" t="str">
        <f t="shared" si="19"/>
        <v xml:space="preserve">PRADA </v>
      </c>
      <c r="C1269" s="601" t="e">
        <f>MID(Table3[[#This Row],[Statement Code]],FIND("- ",Table3[[#This Row],[Statement Code]])+2,100)</f>
        <v>#VALUE!</v>
      </c>
      <c r="D1269" s="602" t="s">
        <v>2790</v>
      </c>
      <c r="E1269" s="601" t="s">
        <v>2783</v>
      </c>
      <c r="F1269" s="601" t="s">
        <v>717</v>
      </c>
      <c r="G1269" s="601">
        <v>3.802</v>
      </c>
      <c r="H1269" s="601">
        <v>1.1299999999999999</v>
      </c>
      <c r="I1269" s="601">
        <v>2.532</v>
      </c>
      <c r="J1269" s="601">
        <v>3.65</v>
      </c>
      <c r="K1269" s="601">
        <v>4.9240000000000004</v>
      </c>
      <c r="L1269" s="601">
        <v>5.9779999999999998</v>
      </c>
    </row>
    <row r="1270" spans="1:12" hidden="1">
      <c r="A1270" s="601" t="s">
        <v>2789</v>
      </c>
      <c r="B1270" s="601" t="str">
        <f t="shared" si="19"/>
        <v xml:space="preserve">PRADA </v>
      </c>
      <c r="C1270" s="601" t="e">
        <f>MID(Table3[[#This Row],[Statement Code]],FIND("- ",Table3[[#This Row],[Statement Code]])+2,100)</f>
        <v>#VALUE!</v>
      </c>
      <c r="D1270" s="602" t="s">
        <v>2791</v>
      </c>
      <c r="E1270" s="601" t="s">
        <v>2783</v>
      </c>
      <c r="F1270" s="601" t="s">
        <v>23</v>
      </c>
      <c r="G1270" s="601">
        <v>28.585999999999999</v>
      </c>
      <c r="H1270" s="601">
        <v>49.689</v>
      </c>
      <c r="I1270" s="601">
        <v>28.216000000000001</v>
      </c>
      <c r="J1270" s="601">
        <v>18.872</v>
      </c>
      <c r="K1270" s="601">
        <v>14.74</v>
      </c>
      <c r="L1270" s="601">
        <v>12.289</v>
      </c>
    </row>
    <row r="1271" spans="1:12" hidden="1">
      <c r="A1271" s="601" t="s">
        <v>2789</v>
      </c>
      <c r="B1271" s="601" t="str">
        <f t="shared" si="19"/>
        <v xml:space="preserve">PRADA </v>
      </c>
      <c r="C1271" s="601" t="e">
        <f>MID(Table3[[#This Row],[Statement Code]],FIND("- ",Table3[[#This Row],[Statement Code]])+2,100)</f>
        <v>#VALUE!</v>
      </c>
      <c r="D1271" s="602" t="s">
        <v>2792</v>
      </c>
      <c r="E1271" s="601" t="s">
        <v>2783</v>
      </c>
      <c r="F1271" s="601" t="s">
        <v>23</v>
      </c>
      <c r="G1271" s="601">
        <v>15.183999999999999</v>
      </c>
      <c r="H1271" s="601">
        <v>13.683999999999999</v>
      </c>
      <c r="I1271" s="601">
        <v>13.215</v>
      </c>
      <c r="J1271" s="601">
        <v>10.749000000000001</v>
      </c>
      <c r="K1271" s="601">
        <v>9.1349999999999998</v>
      </c>
      <c r="L1271" s="601">
        <v>8.0139999999999993</v>
      </c>
    </row>
    <row r="1272" spans="1:12" hidden="1">
      <c r="A1272" s="601" t="s">
        <v>2789</v>
      </c>
      <c r="B1272" s="601" t="str">
        <f t="shared" si="19"/>
        <v xml:space="preserve">PRADA </v>
      </c>
      <c r="C1272" s="601" t="e">
        <f>MID(Table3[[#This Row],[Statement Code]],FIND("- ",Table3[[#This Row],[Statement Code]])+2,100)</f>
        <v>#VALUE!</v>
      </c>
      <c r="D1272" s="602" t="s">
        <v>2793</v>
      </c>
      <c r="E1272" s="601" t="s">
        <v>2783</v>
      </c>
      <c r="F1272" s="601" t="s">
        <v>717</v>
      </c>
      <c r="G1272" s="601">
        <v>4.3959999999999999</v>
      </c>
      <c r="H1272" s="601">
        <v>1.3839999999999999</v>
      </c>
      <c r="I1272" s="601">
        <v>1.774</v>
      </c>
      <c r="J1272" s="601">
        <v>3.39</v>
      </c>
      <c r="K1272" s="601">
        <v>5.2709999999999999</v>
      </c>
      <c r="L1272" s="601">
        <v>6.6619999999999999</v>
      </c>
    </row>
    <row r="1273" spans="1:12" hidden="1">
      <c r="A1273" s="601" t="s">
        <v>2789</v>
      </c>
      <c r="B1273" s="601" t="str">
        <f t="shared" si="19"/>
        <v xml:space="preserve">PRADA </v>
      </c>
      <c r="C1273" s="601" t="e">
        <f>MID(Table3[[#This Row],[Statement Code]],FIND("- ",Table3[[#This Row],[Statement Code]])+2,100)</f>
        <v>#VALUE!</v>
      </c>
      <c r="D1273" s="602" t="s">
        <v>2794</v>
      </c>
      <c r="E1273" s="601" t="s">
        <v>2783</v>
      </c>
      <c r="F1273" s="601" t="s">
        <v>23</v>
      </c>
      <c r="G1273" s="601">
        <v>3.1190000000000002</v>
      </c>
      <c r="H1273" s="601">
        <v>3.8540000000000001</v>
      </c>
      <c r="I1273" s="601">
        <v>4.0309999999999997</v>
      </c>
      <c r="J1273" s="601">
        <v>3.5840000000000001</v>
      </c>
      <c r="K1273" s="601">
        <v>3.339</v>
      </c>
      <c r="L1273" s="601">
        <v>2.9220000000000002</v>
      </c>
    </row>
    <row r="1274" spans="1:12" hidden="1">
      <c r="A1274" s="601" t="s">
        <v>2789</v>
      </c>
      <c r="B1274" s="601" t="str">
        <f t="shared" si="19"/>
        <v xml:space="preserve">PRADA </v>
      </c>
      <c r="C1274" s="601" t="e">
        <f>MID(Table3[[#This Row],[Statement Code]],FIND("- ",Table3[[#This Row],[Statement Code]])+2,100)</f>
        <v>#VALUE!</v>
      </c>
      <c r="D1274" s="602" t="s">
        <v>2795</v>
      </c>
      <c r="E1274" s="601" t="s">
        <v>2783</v>
      </c>
      <c r="F1274" s="601" t="s">
        <v>717</v>
      </c>
      <c r="G1274" s="601">
        <v>0.46100000000000002</v>
      </c>
      <c r="H1274" s="601">
        <v>0.47799999999999998</v>
      </c>
      <c r="I1274" s="601">
        <v>0.158</v>
      </c>
      <c r="J1274" s="601">
        <v>-7.1999999999999995E-2</v>
      </c>
      <c r="K1274" s="601">
        <v>-0.41099999999999998</v>
      </c>
      <c r="L1274" s="601">
        <v>-0.3</v>
      </c>
    </row>
    <row r="1275" spans="1:12" hidden="1">
      <c r="A1275" s="601" t="s">
        <v>2789</v>
      </c>
      <c r="B1275" s="601" t="str">
        <f t="shared" si="19"/>
        <v xml:space="preserve">PRADA </v>
      </c>
      <c r="C1275" s="601" t="e">
        <f>MID(Table3[[#This Row],[Statement Code]],FIND("- ",Table3[[#This Row],[Statement Code]])+2,100)</f>
        <v>#VALUE!</v>
      </c>
      <c r="D1275" s="602" t="s">
        <v>2796</v>
      </c>
      <c r="E1275" s="601" t="s">
        <v>2783</v>
      </c>
      <c r="F1275" s="601" t="s">
        <v>717</v>
      </c>
      <c r="G1275" s="601">
        <v>4.2000000000000003E-2</v>
      </c>
      <c r="H1275" s="601">
        <v>4.1000000000000002E-2</v>
      </c>
      <c r="I1275" s="601">
        <v>1.2E-2</v>
      </c>
      <c r="J1275" s="601">
        <v>-7.0000000000000001E-3</v>
      </c>
      <c r="K1275" s="601">
        <v>-4.7E-2</v>
      </c>
      <c r="L1275" s="601">
        <v>-3.7999999999999999E-2</v>
      </c>
    </row>
    <row r="1276" spans="1:12" hidden="1">
      <c r="A1276" s="601" t="s">
        <v>2789</v>
      </c>
      <c r="B1276" s="601" t="str">
        <f t="shared" si="19"/>
        <v xml:space="preserve">PRADA </v>
      </c>
      <c r="C1276" s="601" t="e">
        <f>MID(Table3[[#This Row],[Statement Code]],FIND("- ",Table3[[#This Row],[Statement Code]])+2,100)</f>
        <v>#VALUE!</v>
      </c>
      <c r="D1276" s="602" t="s">
        <v>2797</v>
      </c>
      <c r="E1276" s="601" t="s">
        <v>2783</v>
      </c>
      <c r="F1276" s="601" t="s">
        <v>23</v>
      </c>
      <c r="G1276" s="601">
        <v>2.0499999999999998</v>
      </c>
      <c r="H1276" s="601">
        <v>5.16</v>
      </c>
      <c r="I1276" s="601">
        <v>2.64</v>
      </c>
      <c r="J1276" s="601">
        <v>2.4500000000000002</v>
      </c>
      <c r="K1276" s="601">
        <v>1.95</v>
      </c>
      <c r="L1276" s="601">
        <v>1.67</v>
      </c>
    </row>
    <row r="1277" spans="1:12" hidden="1">
      <c r="A1277" s="601" t="s">
        <v>2789</v>
      </c>
      <c r="B1277" s="601" t="str">
        <f t="shared" si="19"/>
        <v xml:space="preserve">PRADA </v>
      </c>
      <c r="C1277" s="601" t="e">
        <f>MID(Table3[[#This Row],[Statement Code]],FIND("- ",Table3[[#This Row],[Statement Code]])+2,100)</f>
        <v>#VALUE!</v>
      </c>
      <c r="D1277" s="602" t="s">
        <v>2798</v>
      </c>
      <c r="E1277" s="601" t="s">
        <v>2783</v>
      </c>
      <c r="F1277" s="601" t="s">
        <v>23</v>
      </c>
      <c r="G1277" s="601">
        <v>1.38</v>
      </c>
      <c r="H1277" s="601">
        <v>3.15</v>
      </c>
      <c r="I1277" s="601">
        <v>1.25</v>
      </c>
      <c r="J1277" s="601">
        <v>1.35</v>
      </c>
      <c r="K1277" s="601">
        <v>1.21</v>
      </c>
      <c r="L1277" s="601">
        <v>1.44</v>
      </c>
    </row>
    <row r="1278" spans="1:12" hidden="1">
      <c r="A1278" s="601" t="s">
        <v>2789</v>
      </c>
      <c r="B1278" s="601" t="str">
        <f t="shared" si="19"/>
        <v xml:space="preserve">PRADA </v>
      </c>
      <c r="C1278" s="601" t="e">
        <f>MID(Table3[[#This Row],[Statement Code]],FIND("- ",Table3[[#This Row],[Statement Code]])+2,100)</f>
        <v>#VALUE!</v>
      </c>
      <c r="D1278" s="602" t="s">
        <v>2799</v>
      </c>
      <c r="E1278" s="601" t="s">
        <v>2783</v>
      </c>
      <c r="F1278" s="601" t="s">
        <v>717</v>
      </c>
      <c r="G1278" s="601">
        <v>2.4569999999999999</v>
      </c>
      <c r="H1278" s="601">
        <v>2.9209999999999998</v>
      </c>
      <c r="I1278" s="601">
        <v>3.895</v>
      </c>
      <c r="J1278" s="601">
        <v>3.8610000000000002</v>
      </c>
      <c r="K1278" s="601">
        <v>3.6339999999999999</v>
      </c>
      <c r="L1278" s="601">
        <v>3.1949999999999998</v>
      </c>
    </row>
    <row r="1279" spans="1:12">
      <c r="A1279" s="601" t="s">
        <v>2800</v>
      </c>
      <c r="B1279" s="601" t="str">
        <f t="shared" si="19"/>
        <v xml:space="preserve">PRADA </v>
      </c>
      <c r="C1279" s="601" t="str">
        <f>MID(Table3[[#This Row],[Statement Code]],FIND("- ",Table3[[#This Row],[Statement Code]])+2,100)</f>
        <v>12MTH TRAILING EPS</v>
      </c>
      <c r="D1279" s="602" t="s">
        <v>2801</v>
      </c>
      <c r="E1279" s="601" t="s">
        <v>2783</v>
      </c>
      <c r="F1279" s="601" t="s">
        <v>551</v>
      </c>
      <c r="G1279" s="601">
        <v>0.10299999999999999</v>
      </c>
      <c r="H1279" s="601">
        <v>1.2E-2</v>
      </c>
      <c r="I1279" s="601">
        <v>7.2999999999999995E-2</v>
      </c>
      <c r="J1279" s="601">
        <v>0.157</v>
      </c>
      <c r="K1279" s="601">
        <v>0.25700000000000001</v>
      </c>
      <c r="L1279" s="601">
        <v>0.33100000000000002</v>
      </c>
    </row>
    <row r="1280" spans="1:12" hidden="1">
      <c r="A1280" s="601" t="s">
        <v>2802</v>
      </c>
      <c r="B1280" s="601" t="str">
        <f t="shared" si="19"/>
        <v xml:space="preserve">PRADA </v>
      </c>
      <c r="C1280" s="601" t="str">
        <f>MID(Table3[[#This Row],[Statement Code]],FIND("- ",Table3[[#This Row],[Statement Code]])+2,100)</f>
        <v>DIV.PER SHR.</v>
      </c>
      <c r="D1280" s="602" t="s">
        <v>2803</v>
      </c>
      <c r="E1280" s="601" t="s">
        <v>2783</v>
      </c>
      <c r="F1280" s="601" t="s">
        <v>551</v>
      </c>
      <c r="G1280" s="601">
        <v>7.0000000000000007E-2</v>
      </c>
      <c r="H1280" s="601">
        <v>0</v>
      </c>
      <c r="I1280" s="601">
        <v>0.04</v>
      </c>
      <c r="J1280" s="601">
        <v>7.0000000000000007E-2</v>
      </c>
      <c r="K1280" s="601">
        <v>0.12</v>
      </c>
      <c r="L1280" s="601">
        <v>0.15</v>
      </c>
    </row>
    <row r="1281" spans="1:12" hidden="1">
      <c r="A1281" s="601" t="s">
        <v>2789</v>
      </c>
      <c r="B1281" s="601" t="str">
        <f t="shared" si="19"/>
        <v xml:space="preserve">PRADA </v>
      </c>
      <c r="C1281" s="601" t="e">
        <f>MID(Table3[[#This Row],[Statement Code]],FIND("- ",Table3[[#This Row],[Statement Code]])+2,100)</f>
        <v>#VALUE!</v>
      </c>
      <c r="D1281" s="602" t="s">
        <v>2804</v>
      </c>
      <c r="E1281" s="601" t="s">
        <v>2783</v>
      </c>
      <c r="F1281" s="601" t="s">
        <v>717</v>
      </c>
      <c r="G1281" s="601">
        <v>3.0419999999999998</v>
      </c>
      <c r="H1281" s="601">
        <v>0.91800000000000004</v>
      </c>
      <c r="I1281" s="601">
        <v>1.53</v>
      </c>
      <c r="J1281" s="601">
        <v>2.4180000000000001</v>
      </c>
      <c r="K1281" s="601">
        <v>2.9710000000000001</v>
      </c>
      <c r="L1281" s="601">
        <v>3.2149999999999999</v>
      </c>
    </row>
    <row r="1282" spans="1:12" hidden="1">
      <c r="A1282" s="601" t="s">
        <v>2787</v>
      </c>
      <c r="B1282" s="601" t="str">
        <f t="shared" si="19"/>
        <v xml:space="preserve">PRADA </v>
      </c>
      <c r="C1282" s="601" t="str">
        <f>MID(Table3[[#This Row],[Statement Code]],FIND("- ",Table3[[#This Row],[Statement Code]])+2,100)</f>
        <v>12MTH FORWARD EPS</v>
      </c>
      <c r="D1282" s="602" t="s">
        <v>2788</v>
      </c>
      <c r="E1282" s="601" t="s">
        <v>2783</v>
      </c>
      <c r="F1282" s="601" t="s">
        <v>551</v>
      </c>
      <c r="G1282" s="601">
        <v>0.111</v>
      </c>
      <c r="H1282" s="601">
        <v>4.7E-2</v>
      </c>
      <c r="I1282" s="601">
        <v>0.14099999999999999</v>
      </c>
      <c r="J1282" s="601">
        <v>0.20100000000000001</v>
      </c>
      <c r="K1282" s="601">
        <v>0.31</v>
      </c>
      <c r="L1282" s="601">
        <v>0.38200000000000001</v>
      </c>
    </row>
    <row r="1283" spans="1:12" hidden="1">
      <c r="A1283" s="601" t="s">
        <v>2784</v>
      </c>
      <c r="B1283" s="601" t="str">
        <f t="shared" ref="B1283:B1346" si="20">LEFT(A1283,FIND(" ",A1283))</f>
        <v xml:space="preserve">PRADA </v>
      </c>
      <c r="C1283" s="601" t="str">
        <f>MID(Table3[[#This Row],[Statement Code]],FIND("- ",Table3[[#This Row],[Statement Code]])+2,100)</f>
        <v>PER</v>
      </c>
      <c r="D1283" s="602" t="s">
        <v>2785</v>
      </c>
      <c r="E1283" s="601" t="s">
        <v>2783</v>
      </c>
      <c r="F1283" s="601" t="s">
        <v>2786</v>
      </c>
      <c r="G1283" s="601">
        <v>29.7</v>
      </c>
      <c r="H1283" s="601" t="s">
        <v>23</v>
      </c>
      <c r="I1283" s="601">
        <v>54.3</v>
      </c>
      <c r="J1283" s="601">
        <v>34.799999999999997</v>
      </c>
      <c r="K1283" s="601">
        <v>25</v>
      </c>
      <c r="L1283" s="601">
        <v>20.2</v>
      </c>
    </row>
    <row r="1284" spans="1:12" hidden="1">
      <c r="A1284" s="601" t="s">
        <v>2781</v>
      </c>
      <c r="B1284" s="601" t="str">
        <f t="shared" si="20"/>
        <v xml:space="preserve">PRADA </v>
      </c>
      <c r="C1284" s="601" t="str">
        <f>MID(Table3[[#This Row],[Statement Code]],FIND("- ",Table3[[#This Row],[Statement Code]])+2,100)</f>
        <v>MARKET VALUE</v>
      </c>
      <c r="D1284" s="602" t="s">
        <v>2782</v>
      </c>
      <c r="E1284" s="601" t="s">
        <v>2783</v>
      </c>
      <c r="F1284" s="601" t="s">
        <v>551</v>
      </c>
      <c r="G1284" s="601">
        <v>8367.9599999999991</v>
      </c>
      <c r="H1284" s="601">
        <v>10416.82</v>
      </c>
      <c r="I1284" s="601">
        <v>14389.09</v>
      </c>
      <c r="J1284" s="601">
        <v>13625.95</v>
      </c>
      <c r="K1284" s="601">
        <v>15935.23</v>
      </c>
      <c r="L1284" s="601">
        <v>16368.63</v>
      </c>
    </row>
    <row r="1285" spans="1:12" hidden="1">
      <c r="A1285" s="601" t="s">
        <v>2805</v>
      </c>
      <c r="B1285" s="601" t="str">
        <f t="shared" si="20"/>
        <v xml:space="preserve">PRADA </v>
      </c>
      <c r="C1285" s="601" t="str">
        <f>MID(Table3[[#This Row],[Statement Code]],FIND("- ",Table3[[#This Row],[Statement Code]])+2,100)</f>
        <v>EARNINGS PER SHR</v>
      </c>
      <c r="D1285" s="602" t="s">
        <v>2806</v>
      </c>
      <c r="E1285" s="601" t="s">
        <v>2783</v>
      </c>
      <c r="F1285" s="601" t="s">
        <v>551</v>
      </c>
      <c r="G1285" s="601">
        <v>0.11</v>
      </c>
      <c r="H1285" s="601">
        <v>0</v>
      </c>
      <c r="I1285" s="601">
        <v>0.1</v>
      </c>
      <c r="J1285" s="601">
        <v>0.15</v>
      </c>
      <c r="K1285" s="601">
        <v>0.24</v>
      </c>
      <c r="L1285" s="601">
        <v>0.33</v>
      </c>
    </row>
    <row r="1286" spans="1:12" hidden="1">
      <c r="A1286" s="601" t="s">
        <v>2789</v>
      </c>
      <c r="B1286" s="601" t="str">
        <f t="shared" si="20"/>
        <v xml:space="preserve">PRADA </v>
      </c>
      <c r="C1286" s="601" t="e">
        <f>MID(Table3[[#This Row],[Statement Code]],FIND("- ",Table3[[#This Row],[Statement Code]])+2,100)</f>
        <v>#VALUE!</v>
      </c>
      <c r="D1286" s="602" t="s">
        <v>2807</v>
      </c>
      <c r="E1286" s="601" t="s">
        <v>2783</v>
      </c>
      <c r="F1286" s="601" t="s">
        <v>23</v>
      </c>
      <c r="G1286" s="601">
        <v>0.30499999999999999</v>
      </c>
      <c r="H1286" s="601">
        <v>1.022</v>
      </c>
      <c r="I1286" s="601">
        <v>1.2010000000000001</v>
      </c>
      <c r="J1286" s="601">
        <v>1.198</v>
      </c>
      <c r="K1286" s="601">
        <v>1.06</v>
      </c>
      <c r="L1286" s="601">
        <v>0.93400000000000005</v>
      </c>
    </row>
    <row r="1287" spans="1:12" hidden="1">
      <c r="A1287" s="601" t="s">
        <v>2789</v>
      </c>
      <c r="B1287" s="601" t="str">
        <f t="shared" si="20"/>
        <v xml:space="preserve">PRADA </v>
      </c>
      <c r="C1287" s="601" t="e">
        <f>MID(Table3[[#This Row],[Statement Code]],FIND("- ",Table3[[#This Row],[Statement Code]])+2,100)</f>
        <v>#VALUE!</v>
      </c>
      <c r="D1287" s="602" t="s">
        <v>2808</v>
      </c>
      <c r="E1287" s="601" t="s">
        <v>2783</v>
      </c>
      <c r="F1287" s="601" t="s">
        <v>23</v>
      </c>
      <c r="G1287" s="601">
        <v>0.32890000000000003</v>
      </c>
      <c r="H1287" s="601">
        <v>0.3891</v>
      </c>
      <c r="I1287" s="601">
        <v>0.40489999999999998</v>
      </c>
      <c r="J1287" s="601">
        <v>0.41289999999999999</v>
      </c>
      <c r="K1287" s="601">
        <v>0.4148</v>
      </c>
      <c r="L1287" s="601">
        <v>0.39800000000000002</v>
      </c>
    </row>
    <row r="1288" spans="1:12" hidden="1">
      <c r="A1288" s="601" t="s">
        <v>2809</v>
      </c>
      <c r="B1288" s="601" t="str">
        <f t="shared" si="20"/>
        <v xml:space="preserve">PRADA </v>
      </c>
      <c r="C1288" s="601" t="str">
        <f>MID(Table3[[#This Row],[Statement Code]],FIND("- ",Table3[[#This Row],[Statement Code]])+2,100)</f>
        <v>ACCOUNTS PAYABLE</v>
      </c>
      <c r="D1288" s="602" t="s">
        <v>2810</v>
      </c>
      <c r="E1288" s="601" t="s">
        <v>2783</v>
      </c>
      <c r="F1288" s="601" t="s">
        <v>551</v>
      </c>
      <c r="G1288" s="601">
        <v>361998</v>
      </c>
      <c r="H1288" s="601">
        <v>343425</v>
      </c>
      <c r="I1288" s="601">
        <v>457942</v>
      </c>
      <c r="J1288" s="601">
        <v>403011</v>
      </c>
      <c r="K1288" s="601">
        <v>484031</v>
      </c>
      <c r="L1288" s="601" t="s">
        <v>23</v>
      </c>
    </row>
    <row r="1289" spans="1:12" hidden="1">
      <c r="A1289" s="601" t="s">
        <v>2811</v>
      </c>
      <c r="B1289" s="601" t="str">
        <f t="shared" si="20"/>
        <v xml:space="preserve">PRADA </v>
      </c>
      <c r="C1289" s="601" t="str">
        <f>MID(Table3[[#This Row],[Statement Code]],FIND("- ",Table3[[#This Row],[Statement Code]])+2,100)</f>
        <v>AMORT &amp; IMPAIR OF GOODWILL</v>
      </c>
      <c r="D1289" s="602" t="s">
        <v>2812</v>
      </c>
      <c r="E1289" s="601" t="s">
        <v>2783</v>
      </c>
      <c r="F1289" s="601" t="s">
        <v>551</v>
      </c>
      <c r="G1289" s="601">
        <v>0</v>
      </c>
      <c r="H1289" s="601">
        <v>0</v>
      </c>
      <c r="I1289" s="601">
        <v>0</v>
      </c>
      <c r="J1289" s="601">
        <v>0</v>
      </c>
      <c r="K1289" s="601" t="s">
        <v>23</v>
      </c>
      <c r="L1289" s="601" t="s">
        <v>23</v>
      </c>
    </row>
    <row r="1290" spans="1:12" hidden="1">
      <c r="A1290" s="601" t="s">
        <v>2813</v>
      </c>
      <c r="B1290" s="601" t="str">
        <f t="shared" si="20"/>
        <v xml:space="preserve">PRADA </v>
      </c>
      <c r="C1290" s="601" t="str">
        <f>MID(Table3[[#This Row],[Statement Code]],FIND("- ",Table3[[#This Row],[Statement Code]])+2,100)</f>
        <v>AMORTIZATION OF DEFERRED CHARG</v>
      </c>
      <c r="D1290" s="602" t="s">
        <v>2814</v>
      </c>
      <c r="E1290" s="601" t="s">
        <v>2783</v>
      </c>
      <c r="F1290" s="601" t="s">
        <v>551</v>
      </c>
      <c r="G1290" s="601">
        <v>0</v>
      </c>
      <c r="H1290" s="601">
        <v>0</v>
      </c>
      <c r="I1290" s="601">
        <v>0</v>
      </c>
      <c r="J1290" s="601">
        <v>0</v>
      </c>
      <c r="K1290" s="601">
        <v>0</v>
      </c>
      <c r="L1290" s="601" t="s">
        <v>23</v>
      </c>
    </row>
    <row r="1291" spans="1:12" hidden="1">
      <c r="A1291" s="601" t="s">
        <v>2815</v>
      </c>
      <c r="B1291" s="601" t="str">
        <f t="shared" si="20"/>
        <v xml:space="preserve">PRADA </v>
      </c>
      <c r="C1291" s="601" t="str">
        <f>MID(Table3[[#This Row],[Statement Code]],FIND("- ",Table3[[#This Row],[Statement Code]])+2,100)</f>
        <v>AMORTIZATION-INTANGIBLE ASSETS</v>
      </c>
      <c r="D1291" s="602" t="s">
        <v>2816</v>
      </c>
      <c r="E1291" s="601" t="s">
        <v>2783</v>
      </c>
      <c r="F1291" s="601" t="s">
        <v>551</v>
      </c>
      <c r="G1291" s="601" t="s">
        <v>23</v>
      </c>
      <c r="H1291" s="601">
        <v>37010</v>
      </c>
      <c r="I1291" s="601" t="s">
        <v>23</v>
      </c>
      <c r="J1291" s="601">
        <v>40824</v>
      </c>
      <c r="K1291" s="601">
        <v>46277</v>
      </c>
      <c r="L1291" s="601" t="s">
        <v>23</v>
      </c>
    </row>
    <row r="1292" spans="1:12" hidden="1">
      <c r="A1292" s="601" t="s">
        <v>2817</v>
      </c>
      <c r="B1292" s="601" t="str">
        <f t="shared" si="20"/>
        <v xml:space="preserve">PRADA </v>
      </c>
      <c r="C1292" s="601" t="str">
        <f>MID(Table3[[#This Row],[Statement Code]],FIND("- ",Table3[[#This Row],[Statement Code]])+2,100)</f>
        <v>AMORTIZATION OF INTANGIBLES</v>
      </c>
      <c r="D1292" s="602" t="s">
        <v>2818</v>
      </c>
      <c r="E1292" s="601" t="s">
        <v>2783</v>
      </c>
      <c r="F1292" s="601" t="s">
        <v>551</v>
      </c>
      <c r="G1292" s="601">
        <v>32467</v>
      </c>
      <c r="H1292" s="601">
        <v>37010</v>
      </c>
      <c r="I1292" s="601">
        <v>43333</v>
      </c>
      <c r="J1292" s="601">
        <v>40824</v>
      </c>
      <c r="K1292" s="601">
        <v>46277</v>
      </c>
      <c r="L1292" s="601" t="s">
        <v>23</v>
      </c>
    </row>
    <row r="1293" spans="1:12" hidden="1">
      <c r="A1293" s="601" t="s">
        <v>2819</v>
      </c>
      <c r="B1293" s="601" t="str">
        <f t="shared" si="20"/>
        <v xml:space="preserve">PRADA </v>
      </c>
      <c r="C1293" s="601" t="str">
        <f>MID(Table3[[#This Row],[Statement Code]],FIND("- ",Table3[[#This Row],[Statement Code]])+2,100)</f>
        <v>BOOK VALUE-OUT SHARES-FISCAL</v>
      </c>
      <c r="D1293" s="602" t="s">
        <v>2820</v>
      </c>
      <c r="E1293" s="601" t="s">
        <v>2783</v>
      </c>
      <c r="F1293" s="601" t="s">
        <v>551</v>
      </c>
      <c r="G1293" s="601">
        <v>1.282</v>
      </c>
      <c r="H1293" s="601">
        <v>1.3129999999999999</v>
      </c>
      <c r="I1293" s="601">
        <v>1.4279999999999999</v>
      </c>
      <c r="J1293" s="601">
        <v>1.365</v>
      </c>
      <c r="K1293" s="601">
        <v>1.6080000000000001</v>
      </c>
      <c r="L1293" s="601" t="s">
        <v>23</v>
      </c>
    </row>
    <row r="1294" spans="1:12" hidden="1">
      <c r="A1294" s="601" t="s">
        <v>2821</v>
      </c>
      <c r="B1294" s="601" t="str">
        <f t="shared" si="20"/>
        <v xml:space="preserve">PRADA </v>
      </c>
      <c r="C1294" s="601" t="str">
        <f>MID(Table3[[#This Row],[Statement Code]],FIND("- ",Table3[[#This Row],[Statement Code]])+2,100)</f>
        <v>BOOK VALUE PER SHARE</v>
      </c>
      <c r="D1294" s="602" t="s">
        <v>2822</v>
      </c>
      <c r="E1294" s="601" t="s">
        <v>2783</v>
      </c>
      <c r="F1294" s="601" t="s">
        <v>551</v>
      </c>
      <c r="G1294" s="601">
        <v>1.282</v>
      </c>
      <c r="H1294" s="601">
        <v>1.3129999999999999</v>
      </c>
      <c r="I1294" s="601">
        <v>1.4279999999999999</v>
      </c>
      <c r="J1294" s="601">
        <v>1.365</v>
      </c>
      <c r="K1294" s="601">
        <v>1.6080000000000001</v>
      </c>
      <c r="L1294" s="601" t="s">
        <v>23</v>
      </c>
    </row>
    <row r="1295" spans="1:12">
      <c r="A1295" s="601" t="s">
        <v>2823</v>
      </c>
      <c r="B1295" s="601" t="str">
        <f t="shared" si="20"/>
        <v xml:space="preserve">PRADA </v>
      </c>
      <c r="C1295" s="601" t="str">
        <f>MID(Table3[[#This Row],[Statement Code]],FIND("- ",Table3[[#This Row],[Statement Code]])+2,100)</f>
        <v>CAPITAL EXPENDITURES</v>
      </c>
      <c r="D1295" s="602" t="s">
        <v>2824</v>
      </c>
      <c r="E1295" s="601" t="s">
        <v>2783</v>
      </c>
      <c r="F1295" s="601" t="s">
        <v>551</v>
      </c>
      <c r="G1295" s="601">
        <v>343891</v>
      </c>
      <c r="H1295" s="601">
        <v>129929</v>
      </c>
      <c r="I1295" s="601">
        <v>257782</v>
      </c>
      <c r="J1295" s="601">
        <v>242224</v>
      </c>
      <c r="K1295" s="601">
        <v>811022</v>
      </c>
      <c r="L1295" s="601" t="s">
        <v>23</v>
      </c>
    </row>
    <row r="1296" spans="1:12" hidden="1">
      <c r="A1296" s="601" t="s">
        <v>2825</v>
      </c>
      <c r="B1296" s="601" t="str">
        <f t="shared" si="20"/>
        <v xml:space="preserve">PRADA </v>
      </c>
      <c r="C1296" s="601" t="str">
        <f>MID(Table3[[#This Row],[Statement Code]],FIND("- ",Table3[[#This Row],[Statement Code]])+2,100)</f>
        <v>CASH</v>
      </c>
      <c r="D1296" s="602" t="s">
        <v>2826</v>
      </c>
      <c r="E1296" s="601" t="s">
        <v>2783</v>
      </c>
      <c r="F1296" s="601" t="s">
        <v>551</v>
      </c>
      <c r="G1296" s="601">
        <v>465665</v>
      </c>
      <c r="H1296" s="601">
        <v>524655</v>
      </c>
      <c r="I1296" s="601">
        <v>1152341</v>
      </c>
      <c r="J1296" s="601">
        <v>1094916</v>
      </c>
      <c r="K1296" s="601">
        <v>736123</v>
      </c>
      <c r="L1296" s="601" t="s">
        <v>23</v>
      </c>
    </row>
    <row r="1297" spans="1:12" hidden="1">
      <c r="A1297" s="601" t="s">
        <v>2827</v>
      </c>
      <c r="B1297" s="601" t="str">
        <f t="shared" si="20"/>
        <v xml:space="preserve">PRADA </v>
      </c>
      <c r="C1297" s="601" t="str">
        <f>MID(Table3[[#This Row],[Statement Code]],FIND("- ",Table3[[#This Row],[Statement Code]])+2,100)</f>
        <v>CASH - GENERIC</v>
      </c>
      <c r="D1297" s="602" t="s">
        <v>2828</v>
      </c>
      <c r="E1297" s="601" t="s">
        <v>2783</v>
      </c>
      <c r="F1297" s="601" t="s">
        <v>551</v>
      </c>
      <c r="G1297" s="601">
        <v>469332</v>
      </c>
      <c r="H1297" s="601">
        <v>537334</v>
      </c>
      <c r="I1297" s="601">
        <v>1154409</v>
      </c>
      <c r="J1297" s="601">
        <v>1117466</v>
      </c>
      <c r="K1297" s="601">
        <v>754859</v>
      </c>
      <c r="L1297" s="601" t="s">
        <v>23</v>
      </c>
    </row>
    <row r="1298" spans="1:12">
      <c r="A1298" s="601" t="s">
        <v>2829</v>
      </c>
      <c r="B1298" s="601" t="str">
        <f t="shared" si="20"/>
        <v xml:space="preserve">PRADA </v>
      </c>
      <c r="C1298" s="601" t="str">
        <f>MID(Table3[[#This Row],[Statement Code]],FIND("- ",Table3[[#This Row],[Statement Code]])+2,100)</f>
        <v>CASH &amp; SHORT TERM INVESTMENTS</v>
      </c>
      <c r="D1298" s="602" t="s">
        <v>2830</v>
      </c>
      <c r="E1298" s="601" t="s">
        <v>2783</v>
      </c>
      <c r="F1298" s="601" t="s">
        <v>551</v>
      </c>
      <c r="G1298" s="601">
        <v>469332</v>
      </c>
      <c r="H1298" s="601">
        <v>537334</v>
      </c>
      <c r="I1298" s="601">
        <v>1154409</v>
      </c>
      <c r="J1298" s="601">
        <v>1117466</v>
      </c>
      <c r="K1298" s="601">
        <v>754859</v>
      </c>
      <c r="L1298" s="601" t="s">
        <v>23</v>
      </c>
    </row>
    <row r="1299" spans="1:12" hidden="1">
      <c r="A1299" s="601" t="s">
        <v>2831</v>
      </c>
      <c r="B1299" s="601" t="str">
        <f t="shared" si="20"/>
        <v xml:space="preserve">PRADA </v>
      </c>
      <c r="C1299" s="601" t="str">
        <f>MID(Table3[[#This Row],[Statement Code]],FIND("- ",Table3[[#This Row],[Statement Code]])+2,100)</f>
        <v>CASH DIVIDENDS PAID - TOTAL</v>
      </c>
      <c r="D1299" s="602" t="s">
        <v>2832</v>
      </c>
      <c r="E1299" s="601" t="s">
        <v>2783</v>
      </c>
      <c r="F1299" s="601" t="s">
        <v>551</v>
      </c>
      <c r="G1299" s="601">
        <v>169790</v>
      </c>
      <c r="H1299" s="601">
        <v>0</v>
      </c>
      <c r="I1299" s="601">
        <v>105117</v>
      </c>
      <c r="J1299" s="601">
        <v>179658</v>
      </c>
      <c r="K1299" s="601">
        <v>300495</v>
      </c>
      <c r="L1299" s="601" t="s">
        <v>23</v>
      </c>
    </row>
    <row r="1300" spans="1:12" hidden="1">
      <c r="A1300" s="601" t="s">
        <v>2833</v>
      </c>
      <c r="B1300" s="601" t="str">
        <f t="shared" si="20"/>
        <v xml:space="preserve">PRADA </v>
      </c>
      <c r="C1300" s="601" t="str">
        <f>MID(Table3[[#This Row],[Statement Code]],FIND("- ",Table3[[#This Row],[Statement Code]])+2,100)</f>
        <v>CASH FLOW PER SHARE</v>
      </c>
      <c r="D1300" s="602" t="s">
        <v>2834</v>
      </c>
      <c r="E1300" s="601" t="s">
        <v>2783</v>
      </c>
      <c r="F1300" s="601" t="s">
        <v>551</v>
      </c>
      <c r="G1300" s="601">
        <v>0.39800000000000002</v>
      </c>
      <c r="H1300" s="601">
        <v>0.22600000000000001</v>
      </c>
      <c r="I1300" s="601">
        <v>0.48899999999999999</v>
      </c>
      <c r="J1300" s="601">
        <v>0.49199999999999999</v>
      </c>
      <c r="K1300" s="601">
        <v>0.53400000000000003</v>
      </c>
      <c r="L1300" s="601" t="s">
        <v>23</v>
      </c>
    </row>
    <row r="1301" spans="1:12" hidden="1">
      <c r="A1301" s="601" t="s">
        <v>2835</v>
      </c>
      <c r="B1301" s="601" t="str">
        <f t="shared" si="20"/>
        <v xml:space="preserve">PRADA </v>
      </c>
      <c r="C1301" s="601" t="str">
        <f>MID(Table3[[#This Row],[Statement Code]],FIND("- ",Table3[[#This Row],[Statement Code]])+2,100)</f>
        <v>CASH FLOW PER SHARE - FIS YR</v>
      </c>
      <c r="D1301" s="602" t="s">
        <v>2836</v>
      </c>
      <c r="E1301" s="601" t="s">
        <v>2783</v>
      </c>
      <c r="F1301" s="601" t="s">
        <v>551</v>
      </c>
      <c r="G1301" s="601">
        <v>0.39800000000000002</v>
      </c>
      <c r="H1301" s="601">
        <v>0.22600000000000001</v>
      </c>
      <c r="I1301" s="601">
        <v>0.48899999999999999</v>
      </c>
      <c r="J1301" s="601">
        <v>0.49199999999999999</v>
      </c>
      <c r="K1301" s="601">
        <v>0.53400000000000003</v>
      </c>
      <c r="L1301" s="601" t="s">
        <v>23</v>
      </c>
    </row>
    <row r="1302" spans="1:12" hidden="1">
      <c r="A1302" s="601" t="s">
        <v>2837</v>
      </c>
      <c r="B1302" s="601" t="str">
        <f t="shared" si="20"/>
        <v xml:space="preserve">PRADA </v>
      </c>
      <c r="C1302" s="601" t="str">
        <f>MID(Table3[[#This Row],[Statement Code]],FIND("- ",Table3[[#This Row],[Statement Code]])+2,100)</f>
        <v>COMMON DIVIDENDS (CASH)</v>
      </c>
      <c r="D1302" s="602" t="s">
        <v>2838</v>
      </c>
      <c r="E1302" s="601" t="s">
        <v>2783</v>
      </c>
      <c r="F1302" s="601" t="s">
        <v>551</v>
      </c>
      <c r="G1302" s="601">
        <v>169790</v>
      </c>
      <c r="H1302" s="601">
        <v>0</v>
      </c>
      <c r="I1302" s="601">
        <v>105117</v>
      </c>
      <c r="J1302" s="601">
        <v>179658</v>
      </c>
      <c r="K1302" s="601">
        <v>300495</v>
      </c>
      <c r="L1302" s="601" t="s">
        <v>23</v>
      </c>
    </row>
    <row r="1303" spans="1:12" hidden="1">
      <c r="A1303" s="601" t="s">
        <v>2839</v>
      </c>
      <c r="B1303" s="601" t="str">
        <f t="shared" si="20"/>
        <v xml:space="preserve">PRADA </v>
      </c>
      <c r="C1303" s="601" t="str">
        <f>MID(Table3[[#This Row],[Statement Code]],FIND("- ",Table3[[#This Row],[Statement Code]])+2,100)</f>
        <v>COMMON SHAREHOLDERS' EQUITY</v>
      </c>
      <c r="D1303" s="602" t="s">
        <v>2840</v>
      </c>
      <c r="E1303" s="601" t="s">
        <v>2783</v>
      </c>
      <c r="F1303" s="601" t="s">
        <v>551</v>
      </c>
      <c r="G1303" s="601">
        <v>3281417</v>
      </c>
      <c r="H1303" s="601">
        <v>3358680</v>
      </c>
      <c r="I1303" s="601">
        <v>3654836</v>
      </c>
      <c r="J1303" s="601">
        <v>3492723</v>
      </c>
      <c r="K1303" s="601">
        <v>4114270</v>
      </c>
      <c r="L1303" s="601" t="s">
        <v>23</v>
      </c>
    </row>
    <row r="1304" spans="1:12">
      <c r="A1304" s="601" t="s">
        <v>2841</v>
      </c>
      <c r="B1304" s="601" t="str">
        <f t="shared" si="20"/>
        <v xml:space="preserve">PRADA </v>
      </c>
      <c r="C1304" s="601" t="str">
        <f>MID(Table3[[#This Row],[Statement Code]],FIND("- ",Table3[[#This Row],[Statement Code]])+2,100)</f>
        <v>COMMON STOCK</v>
      </c>
      <c r="D1304" s="602" t="s">
        <v>2842</v>
      </c>
      <c r="E1304" s="601" t="s">
        <v>2783</v>
      </c>
      <c r="F1304" s="601" t="s">
        <v>551</v>
      </c>
      <c r="G1304" s="601">
        <v>282983</v>
      </c>
      <c r="H1304" s="601">
        <v>303463</v>
      </c>
      <c r="I1304" s="601">
        <v>300334</v>
      </c>
      <c r="J1304" s="601">
        <v>256654</v>
      </c>
      <c r="K1304" s="601">
        <v>273177</v>
      </c>
      <c r="L1304" s="601" t="s">
        <v>23</v>
      </c>
    </row>
    <row r="1305" spans="1:12" hidden="1">
      <c r="A1305" s="601" t="s">
        <v>2843</v>
      </c>
      <c r="B1305" s="601" t="str">
        <f t="shared" si="20"/>
        <v xml:space="preserve">PRADA </v>
      </c>
      <c r="C1305" s="601" t="str">
        <f>MID(Table3[[#This Row],[Statement Code]],FIND("- ",Table3[[#This Row],[Statement Code]])+2,100)</f>
        <v>COST OF GOODS SOLD (EXCL DEP)</v>
      </c>
      <c r="D1305" s="602" t="s">
        <v>2844</v>
      </c>
      <c r="E1305" s="601" t="s">
        <v>2783</v>
      </c>
      <c r="F1305" s="601" t="s">
        <v>551</v>
      </c>
      <c r="G1305" s="601">
        <v>251608</v>
      </c>
      <c r="H1305" s="601">
        <v>37631</v>
      </c>
      <c r="I1305" s="601">
        <v>227829</v>
      </c>
      <c r="J1305" s="601">
        <v>226838</v>
      </c>
      <c r="K1305" s="601">
        <v>265040</v>
      </c>
      <c r="L1305" s="601" t="s">
        <v>23</v>
      </c>
    </row>
    <row r="1306" spans="1:12">
      <c r="A1306" s="601" t="s">
        <v>2845</v>
      </c>
      <c r="B1306" s="601" t="str">
        <f t="shared" si="20"/>
        <v xml:space="preserve">PRADA </v>
      </c>
      <c r="C1306" s="601" t="str">
        <f>MID(Table3[[#This Row],[Statement Code]],FIND("- ",Table3[[#This Row],[Statement Code]])+2,100)</f>
        <v>CURRENT ASSETS - TOTAL</v>
      </c>
      <c r="D1306" s="602" t="s">
        <v>2846</v>
      </c>
      <c r="E1306" s="601" t="s">
        <v>2783</v>
      </c>
      <c r="F1306" s="601" t="s">
        <v>551</v>
      </c>
      <c r="G1306" s="601">
        <v>1877373</v>
      </c>
      <c r="H1306" s="601">
        <v>1962639</v>
      </c>
      <c r="I1306" s="601">
        <v>2546776</v>
      </c>
      <c r="J1306" s="601">
        <v>2432083</v>
      </c>
      <c r="K1306" s="601">
        <v>2308927</v>
      </c>
      <c r="L1306" s="601" t="s">
        <v>23</v>
      </c>
    </row>
    <row r="1307" spans="1:12">
      <c r="A1307" s="601" t="s">
        <v>2847</v>
      </c>
      <c r="B1307" s="601" t="str">
        <f t="shared" si="20"/>
        <v xml:space="preserve">PRADA </v>
      </c>
      <c r="C1307" s="601" t="str">
        <f>MID(Table3[[#This Row],[Statement Code]],FIND("- ",Table3[[#This Row],[Statement Code]])+2,100)</f>
        <v>CURRENT LIABILITIES-TOTAL</v>
      </c>
      <c r="D1307" s="602" t="s">
        <v>2848</v>
      </c>
      <c r="E1307" s="601" t="s">
        <v>2783</v>
      </c>
      <c r="F1307" s="601" t="s">
        <v>551</v>
      </c>
      <c r="G1307" s="601">
        <v>1362272</v>
      </c>
      <c r="H1307" s="601">
        <v>1455473</v>
      </c>
      <c r="I1307" s="601">
        <v>1666365</v>
      </c>
      <c r="J1307" s="601">
        <v>1494362</v>
      </c>
      <c r="K1307" s="601">
        <v>1548411</v>
      </c>
      <c r="L1307" s="601" t="s">
        <v>23</v>
      </c>
    </row>
    <row r="1308" spans="1:12" hidden="1">
      <c r="A1308" s="601" t="s">
        <v>2849</v>
      </c>
      <c r="B1308" s="601" t="str">
        <f t="shared" si="20"/>
        <v xml:space="preserve">PRADA </v>
      </c>
      <c r="C1308" s="601" t="str">
        <f>MID(Table3[[#This Row],[Statement Code]],FIND("- ",Table3[[#This Row],[Statement Code]])+2,100)</f>
        <v>DEFERRED TAXES</v>
      </c>
      <c r="D1308" s="602" t="s">
        <v>2850</v>
      </c>
      <c r="E1308" s="601" t="s">
        <v>2783</v>
      </c>
      <c r="F1308" s="601" t="s">
        <v>551</v>
      </c>
      <c r="G1308" s="601">
        <v>-237626</v>
      </c>
      <c r="H1308" s="601">
        <v>-264038</v>
      </c>
      <c r="I1308" s="601">
        <v>-302416</v>
      </c>
      <c r="J1308" s="601">
        <v>-333237</v>
      </c>
      <c r="K1308" s="601">
        <v>-362037</v>
      </c>
      <c r="L1308" s="601" t="s">
        <v>23</v>
      </c>
    </row>
    <row r="1309" spans="1:12" hidden="1">
      <c r="A1309" s="601" t="s">
        <v>2851</v>
      </c>
      <c r="B1309" s="601" t="str">
        <f t="shared" si="20"/>
        <v xml:space="preserve">PRADA </v>
      </c>
      <c r="C1309" s="601" t="str">
        <f>MID(Table3[[#This Row],[Statement Code]],FIND("- ",Table3[[#This Row],[Statement Code]])+2,100)</f>
        <v>DEPRECIATION AND DEPLETION</v>
      </c>
      <c r="D1309" s="602" t="s">
        <v>2852</v>
      </c>
      <c r="E1309" s="601" t="s">
        <v>2783</v>
      </c>
      <c r="F1309" s="601" t="s">
        <v>551</v>
      </c>
      <c r="G1309" s="601">
        <v>750493</v>
      </c>
      <c r="H1309" s="601">
        <v>731047</v>
      </c>
      <c r="I1309" s="601">
        <v>732656</v>
      </c>
      <c r="J1309" s="601">
        <v>623599</v>
      </c>
      <c r="K1309" s="601">
        <v>675819</v>
      </c>
      <c r="L1309" s="601" t="s">
        <v>23</v>
      </c>
    </row>
    <row r="1310" spans="1:12">
      <c r="A1310" s="601" t="s">
        <v>2853</v>
      </c>
      <c r="B1310" s="601" t="str">
        <f t="shared" si="20"/>
        <v xml:space="preserve">PRADA </v>
      </c>
      <c r="C1310" s="601" t="str">
        <f>MID(Table3[[#This Row],[Statement Code]],FIND("- ",Table3[[#This Row],[Statement Code]])+2,100)</f>
        <v>DEPRECIATION/DEPLETION/AMORT</v>
      </c>
      <c r="D1310" s="602" t="s">
        <v>2854</v>
      </c>
      <c r="E1310" s="601" t="s">
        <v>2783</v>
      </c>
      <c r="F1310" s="601" t="s">
        <v>551</v>
      </c>
      <c r="G1310" s="601">
        <v>750328</v>
      </c>
      <c r="H1310" s="601">
        <v>768057</v>
      </c>
      <c r="I1310" s="601">
        <v>732635</v>
      </c>
      <c r="J1310" s="601">
        <v>664423</v>
      </c>
      <c r="K1310" s="601">
        <v>722096</v>
      </c>
      <c r="L1310" s="601" t="s">
        <v>23</v>
      </c>
    </row>
    <row r="1311" spans="1:12" hidden="1">
      <c r="A1311" s="601" t="s">
        <v>2855</v>
      </c>
      <c r="B1311" s="601" t="str">
        <f t="shared" si="20"/>
        <v xml:space="preserve">PRADA </v>
      </c>
      <c r="C1311" s="601" t="str">
        <f>MID(Table3[[#This Row],[Statement Code]],FIND("- ",Table3[[#This Row],[Statement Code]])+2,100)</f>
        <v>DIVIDENDS PER SHARE</v>
      </c>
      <c r="D1311" s="602" t="s">
        <v>2856</v>
      </c>
      <c r="E1311" s="601" t="s">
        <v>2783</v>
      </c>
      <c r="F1311" s="601" t="s">
        <v>551</v>
      </c>
      <c r="G1311" s="601">
        <v>0</v>
      </c>
      <c r="H1311" s="601">
        <v>4.2000000000000003E-2</v>
      </c>
      <c r="I1311" s="601">
        <v>8.2000000000000003E-2</v>
      </c>
      <c r="J1311" s="601">
        <v>0.11</v>
      </c>
      <c r="K1311" s="601">
        <v>0.14599999999999999</v>
      </c>
      <c r="L1311" s="601" t="s">
        <v>23</v>
      </c>
    </row>
    <row r="1312" spans="1:12" hidden="1">
      <c r="A1312" s="601" t="s">
        <v>2857</v>
      </c>
      <c r="B1312" s="601" t="str">
        <f t="shared" si="20"/>
        <v xml:space="preserve">PRADA </v>
      </c>
      <c r="C1312" s="601" t="str">
        <f>MID(Table3[[#This Row],[Statement Code]],FIND("- ",Table3[[#This Row],[Statement Code]])+2,100)</f>
        <v>DIVIDENDS PER SHARE - FISCAL</v>
      </c>
      <c r="D1312" s="602" t="s">
        <v>2858</v>
      </c>
      <c r="E1312" s="601" t="s">
        <v>2783</v>
      </c>
      <c r="F1312" s="601" t="s">
        <v>551</v>
      </c>
      <c r="G1312" s="601">
        <v>0</v>
      </c>
      <c r="H1312" s="601">
        <v>4.2000000000000003E-2</v>
      </c>
      <c r="I1312" s="601">
        <v>8.2000000000000003E-2</v>
      </c>
      <c r="J1312" s="601">
        <v>0.11</v>
      </c>
      <c r="K1312" s="601">
        <v>0.14599999999999999</v>
      </c>
      <c r="L1312" s="601" t="s">
        <v>23</v>
      </c>
    </row>
    <row r="1313" spans="1:12">
      <c r="A1313" s="601" t="s">
        <v>2859</v>
      </c>
      <c r="B1313" s="601" t="str">
        <f t="shared" si="20"/>
        <v xml:space="preserve">PRADA </v>
      </c>
      <c r="C1313" s="601" t="str">
        <f>MID(Table3[[#This Row],[Statement Code]],FIND("- ",Table3[[#This Row],[Statement Code]])+2,100)</f>
        <v>EARNINGS BEF INTEREST &amp; TAXES</v>
      </c>
      <c r="D1313" s="602" t="s">
        <v>2860</v>
      </c>
      <c r="E1313" s="601" t="s">
        <v>2783</v>
      </c>
      <c r="F1313" s="601" t="s">
        <v>551</v>
      </c>
      <c r="G1313" s="601">
        <v>325091</v>
      </c>
      <c r="H1313" s="601">
        <v>1302</v>
      </c>
      <c r="I1313" s="601">
        <v>548910</v>
      </c>
      <c r="J1313" s="601">
        <v>760368</v>
      </c>
      <c r="K1313" s="601">
        <v>1119777</v>
      </c>
      <c r="L1313" s="601" t="s">
        <v>23</v>
      </c>
    </row>
    <row r="1314" spans="1:12" hidden="1">
      <c r="A1314" s="601" t="s">
        <v>2861</v>
      </c>
      <c r="B1314" s="601" t="str">
        <f t="shared" si="20"/>
        <v xml:space="preserve">PRADA </v>
      </c>
      <c r="C1314" s="601" t="str">
        <f>MID(Table3[[#This Row],[Statement Code]],FIND("- ",Table3[[#This Row],[Statement Code]])+2,100)</f>
        <v>EBIT &amp; DEPRECIATION</v>
      </c>
      <c r="D1314" s="602" t="s">
        <v>2862</v>
      </c>
      <c r="E1314" s="601" t="s">
        <v>2783</v>
      </c>
      <c r="F1314" s="601" t="s">
        <v>551</v>
      </c>
      <c r="G1314" s="601">
        <v>1075419</v>
      </c>
      <c r="H1314" s="601">
        <v>769359</v>
      </c>
      <c r="I1314" s="601">
        <v>1281545</v>
      </c>
      <c r="J1314" s="601">
        <v>1424791</v>
      </c>
      <c r="K1314" s="601">
        <v>1841873</v>
      </c>
      <c r="L1314" s="601" t="s">
        <v>23</v>
      </c>
    </row>
    <row r="1315" spans="1:12" hidden="1">
      <c r="A1315" s="601" t="s">
        <v>2863</v>
      </c>
      <c r="B1315" s="601" t="str">
        <f t="shared" si="20"/>
        <v xml:space="preserve">PRADA </v>
      </c>
      <c r="C1315" s="601" t="str">
        <f>MID(Table3[[#This Row],[Statement Code]],FIND("- ",Table3[[#This Row],[Statement Code]])+2,100)</f>
        <v>EARNINGS PER SHARE</v>
      </c>
      <c r="D1315" s="602" t="s">
        <v>2864</v>
      </c>
      <c r="E1315" s="601" t="s">
        <v>2783</v>
      </c>
      <c r="F1315" s="601" t="s">
        <v>551</v>
      </c>
      <c r="G1315" s="601">
        <v>0.111</v>
      </c>
      <c r="H1315" s="601">
        <v>-2.5000000000000001E-2</v>
      </c>
      <c r="I1315" s="601">
        <v>0.13500000000000001</v>
      </c>
      <c r="J1315" s="601">
        <v>0.182</v>
      </c>
      <c r="K1315" s="601">
        <v>0.28000000000000003</v>
      </c>
      <c r="L1315" s="601" t="s">
        <v>23</v>
      </c>
    </row>
    <row r="1316" spans="1:12" hidden="1">
      <c r="A1316" s="601" t="s">
        <v>2865</v>
      </c>
      <c r="B1316" s="601" t="str">
        <f t="shared" si="20"/>
        <v xml:space="preserve">PRADA </v>
      </c>
      <c r="C1316" s="601" t="str">
        <f>MID(Table3[[#This Row],[Statement Code]],FIND("- ",Table3[[#This Row],[Statement Code]])+2,100)</f>
        <v>FISCAL EPS-FULLY DILUTED-YR</v>
      </c>
      <c r="D1316" s="602" t="s">
        <v>2866</v>
      </c>
      <c r="E1316" s="601" t="s">
        <v>2783</v>
      </c>
      <c r="F1316" s="601" t="s">
        <v>551</v>
      </c>
      <c r="G1316" s="601">
        <v>0.111</v>
      </c>
      <c r="H1316" s="601">
        <v>-2.5000000000000001E-2</v>
      </c>
      <c r="I1316" s="601">
        <v>0.13500000000000001</v>
      </c>
      <c r="J1316" s="601">
        <v>0.182</v>
      </c>
      <c r="K1316" s="601">
        <v>0.28000000000000003</v>
      </c>
      <c r="L1316" s="601" t="s">
        <v>23</v>
      </c>
    </row>
    <row r="1317" spans="1:12" hidden="1">
      <c r="A1317" s="601" t="s">
        <v>2867</v>
      </c>
      <c r="B1317" s="601" t="str">
        <f t="shared" si="20"/>
        <v xml:space="preserve">PRADA </v>
      </c>
      <c r="C1317" s="601" t="str">
        <f>MID(Table3[[#This Row],[Statement Code]],FIND("- ",Table3[[#This Row],[Statement Code]])+2,100)</f>
        <v>ENTERPRISE VALUE</v>
      </c>
      <c r="D1317" s="602" t="s">
        <v>2868</v>
      </c>
      <c r="E1317" s="601" t="s">
        <v>2783</v>
      </c>
      <c r="F1317" s="601" t="s">
        <v>551</v>
      </c>
      <c r="G1317" s="601">
        <v>13571178</v>
      </c>
      <c r="H1317" s="601">
        <v>19316911</v>
      </c>
      <c r="I1317" s="601">
        <v>19041520</v>
      </c>
      <c r="J1317" s="601">
        <v>15112188</v>
      </c>
      <c r="K1317" s="601">
        <v>16194308</v>
      </c>
      <c r="L1317" s="601" t="s">
        <v>23</v>
      </c>
    </row>
    <row r="1318" spans="1:12">
      <c r="A1318" s="601" t="s">
        <v>2869</v>
      </c>
      <c r="B1318" s="601" t="str">
        <f t="shared" si="20"/>
        <v xml:space="preserve">PRADA </v>
      </c>
      <c r="C1318" s="601" t="str">
        <f>MID(Table3[[#This Row],[Statement Code]],FIND("- ",Table3[[#This Row],[Statement Code]])+2,100)</f>
        <v>GROSS INCOME</v>
      </c>
      <c r="D1318" s="602" t="s">
        <v>2870</v>
      </c>
      <c r="E1318" s="601" t="s">
        <v>2783</v>
      </c>
      <c r="F1318" s="601" t="s">
        <v>551</v>
      </c>
      <c r="G1318" s="601">
        <v>2565288</v>
      </c>
      <c r="H1318" s="601">
        <v>2067560</v>
      </c>
      <c r="I1318" s="601">
        <v>2989882</v>
      </c>
      <c r="J1318" s="601">
        <v>3322087</v>
      </c>
      <c r="K1318" s="601">
        <v>4058730</v>
      </c>
      <c r="L1318" s="601" t="s">
        <v>23</v>
      </c>
    </row>
    <row r="1319" spans="1:12" hidden="1">
      <c r="A1319" s="601" t="s">
        <v>2871</v>
      </c>
      <c r="B1319" s="601" t="str">
        <f t="shared" si="20"/>
        <v xml:space="preserve">PRADA </v>
      </c>
      <c r="C1319" s="601" t="str">
        <f>MID(Table3[[#This Row],[Statement Code]],FIND("- ",Table3[[#This Row],[Statement Code]])+2,100)</f>
        <v>IMPAIRMENT OF GOODWILL</v>
      </c>
      <c r="D1319" s="602" t="s">
        <v>2872</v>
      </c>
      <c r="E1319" s="601" t="s">
        <v>2783</v>
      </c>
      <c r="F1319" s="601" t="s">
        <v>551</v>
      </c>
      <c r="G1319" s="601">
        <v>0</v>
      </c>
      <c r="H1319" s="601">
        <v>0</v>
      </c>
      <c r="I1319" s="601">
        <v>0</v>
      </c>
      <c r="J1319" s="601">
        <v>0</v>
      </c>
      <c r="K1319" s="601" t="s">
        <v>23</v>
      </c>
      <c r="L1319" s="601" t="s">
        <v>23</v>
      </c>
    </row>
    <row r="1320" spans="1:12" hidden="1">
      <c r="A1320" s="601" t="s">
        <v>2873</v>
      </c>
      <c r="B1320" s="601" t="str">
        <f t="shared" si="20"/>
        <v xml:space="preserve">PRADA </v>
      </c>
      <c r="C1320" s="601" t="str">
        <f>MID(Table3[[#This Row],[Statement Code]],FIND("- ",Table3[[#This Row],[Statement Code]])+2,100)</f>
        <v>IMPAIRMENT- OTHER INTANGIBLES</v>
      </c>
      <c r="D1320" s="602" t="s">
        <v>2874</v>
      </c>
      <c r="E1320" s="601" t="s">
        <v>2783</v>
      </c>
      <c r="F1320" s="601" t="s">
        <v>551</v>
      </c>
      <c r="G1320" s="601" t="s">
        <v>23</v>
      </c>
      <c r="H1320" s="601" t="s">
        <v>23</v>
      </c>
      <c r="I1320" s="601" t="s">
        <v>23</v>
      </c>
      <c r="J1320" s="601">
        <v>19677</v>
      </c>
      <c r="K1320" s="601" t="s">
        <v>23</v>
      </c>
      <c r="L1320" s="601" t="s">
        <v>23</v>
      </c>
    </row>
    <row r="1321" spans="1:12">
      <c r="A1321" s="601" t="s">
        <v>2875</v>
      </c>
      <c r="B1321" s="601" t="str">
        <f t="shared" si="20"/>
        <v xml:space="preserve">PRADA </v>
      </c>
      <c r="C1321" s="601" t="str">
        <f>MID(Table3[[#This Row],[Statement Code]],FIND("- ",Table3[[#This Row],[Statement Code]])+2,100)</f>
        <v>INCOME TAXES</v>
      </c>
      <c r="D1321" s="602" t="s">
        <v>2876</v>
      </c>
      <c r="E1321" s="601" t="s">
        <v>2783</v>
      </c>
      <c r="F1321" s="601" t="s">
        <v>551</v>
      </c>
      <c r="G1321" s="601">
        <v>-25396</v>
      </c>
      <c r="H1321" s="601">
        <v>3031</v>
      </c>
      <c r="I1321" s="601">
        <v>148536</v>
      </c>
      <c r="J1321" s="601">
        <v>242550</v>
      </c>
      <c r="K1321" s="601">
        <v>318217</v>
      </c>
      <c r="L1321" s="601" t="s">
        <v>23</v>
      </c>
    </row>
    <row r="1322" spans="1:12" hidden="1">
      <c r="A1322" s="601" t="s">
        <v>2877</v>
      </c>
      <c r="B1322" s="601" t="str">
        <f t="shared" si="20"/>
        <v xml:space="preserve">PRADA </v>
      </c>
      <c r="C1322" s="601" t="str">
        <f>MID(Table3[[#This Row],[Statement Code]],FIND("- ",Table3[[#This Row],[Statement Code]])+2,100)</f>
        <v>INCREASE/DECREASE IN CASH/SHOR</v>
      </c>
      <c r="D1322" s="602" t="s">
        <v>2878</v>
      </c>
      <c r="E1322" s="601" t="s">
        <v>2783</v>
      </c>
      <c r="F1322" s="601" t="s">
        <v>551</v>
      </c>
      <c r="G1322" s="601">
        <v>-197684</v>
      </c>
      <c r="H1322" s="601">
        <v>25288</v>
      </c>
      <c r="I1322" s="601">
        <v>633097</v>
      </c>
      <c r="J1322" s="601">
        <v>110167</v>
      </c>
      <c r="K1322" s="601">
        <v>-429298</v>
      </c>
      <c r="L1322" s="601" t="s">
        <v>23</v>
      </c>
    </row>
    <row r="1323" spans="1:12">
      <c r="A1323" s="601" t="s">
        <v>2879</v>
      </c>
      <c r="B1323" s="601" t="str">
        <f t="shared" si="20"/>
        <v xml:space="preserve">PRADA </v>
      </c>
      <c r="C1323" s="601" t="str">
        <f>MID(Table3[[#This Row],[Statement Code]],FIND("- ",Table3[[#This Row],[Statement Code]])+2,100)</f>
        <v>INTEREST EXPENSE ON DEBT</v>
      </c>
      <c r="D1323" s="602" t="s">
        <v>2880</v>
      </c>
      <c r="E1323" s="601" t="s">
        <v>2783</v>
      </c>
      <c r="F1323" s="601" t="s">
        <v>551</v>
      </c>
      <c r="G1323" s="601">
        <v>65467</v>
      </c>
      <c r="H1323" s="601">
        <v>62749</v>
      </c>
      <c r="I1323" s="601">
        <v>54005</v>
      </c>
      <c r="J1323" s="601">
        <v>47248</v>
      </c>
      <c r="K1323" s="601">
        <v>82654</v>
      </c>
      <c r="L1323" s="601" t="s">
        <v>23</v>
      </c>
    </row>
    <row r="1324" spans="1:12" hidden="1">
      <c r="A1324" s="601" t="s">
        <v>2881</v>
      </c>
      <c r="B1324" s="601" t="str">
        <f t="shared" si="20"/>
        <v xml:space="preserve">PRADA </v>
      </c>
      <c r="C1324" s="601" t="str">
        <f>MID(Table3[[#This Row],[Statement Code]],FIND("- ",Table3[[#This Row],[Statement Code]])+2,100)</f>
        <v>TOTAL INVENTORIES</v>
      </c>
      <c r="D1324" s="602" t="s">
        <v>2882</v>
      </c>
      <c r="E1324" s="601" t="s">
        <v>2783</v>
      </c>
      <c r="F1324" s="601" t="s">
        <v>551</v>
      </c>
      <c r="G1324" s="601">
        <v>788085</v>
      </c>
      <c r="H1324" s="601">
        <v>790106</v>
      </c>
      <c r="I1324" s="601">
        <v>777769</v>
      </c>
      <c r="J1324" s="601">
        <v>762751</v>
      </c>
      <c r="K1324" s="601">
        <v>835899</v>
      </c>
      <c r="L1324" s="601" t="s">
        <v>23</v>
      </c>
    </row>
    <row r="1325" spans="1:12">
      <c r="A1325" s="601" t="s">
        <v>2883</v>
      </c>
      <c r="B1325" s="601" t="str">
        <f t="shared" si="20"/>
        <v xml:space="preserve">PRADA </v>
      </c>
      <c r="C1325" s="601" t="str">
        <f>MID(Table3[[#This Row],[Statement Code]],FIND("- ",Table3[[#This Row],[Statement Code]])+2,100)</f>
        <v>LONG TERM DEBT</v>
      </c>
      <c r="D1325" s="602" t="s">
        <v>2884</v>
      </c>
      <c r="E1325" s="601" t="s">
        <v>2783</v>
      </c>
      <c r="F1325" s="601" t="s">
        <v>551</v>
      </c>
      <c r="G1325" s="601">
        <v>2864205</v>
      </c>
      <c r="H1325" s="601">
        <v>2586581</v>
      </c>
      <c r="I1325" s="601">
        <v>2488282</v>
      </c>
      <c r="J1325" s="601">
        <v>2117476</v>
      </c>
      <c r="K1325" s="601">
        <v>2175769</v>
      </c>
      <c r="L1325" s="601" t="s">
        <v>23</v>
      </c>
    </row>
    <row r="1326" spans="1:12" hidden="1">
      <c r="A1326" s="601" t="s">
        <v>2885</v>
      </c>
      <c r="B1326" s="601" t="str">
        <f t="shared" si="20"/>
        <v xml:space="preserve">PRADA </v>
      </c>
      <c r="C1326" s="601" t="str">
        <f>MID(Table3[[#This Row],[Statement Code]],FIND("- ",Table3[[#This Row],[Statement Code]])+2,100)</f>
        <v>MARKET CAPITALIZATION</v>
      </c>
      <c r="D1326" s="602" t="s">
        <v>2886</v>
      </c>
      <c r="E1326" s="601" t="s">
        <v>2783</v>
      </c>
      <c r="F1326" s="601" t="s">
        <v>551</v>
      </c>
      <c r="G1326" s="601">
        <v>10432669</v>
      </c>
      <c r="H1326" s="601">
        <v>16409234</v>
      </c>
      <c r="I1326" s="601">
        <v>16907092</v>
      </c>
      <c r="J1326" s="601">
        <v>13538675</v>
      </c>
      <c r="K1326" s="601">
        <v>14151377</v>
      </c>
      <c r="L1326" s="601" t="s">
        <v>23</v>
      </c>
    </row>
    <row r="1327" spans="1:12" hidden="1">
      <c r="A1327" s="601" t="s">
        <v>2887</v>
      </c>
      <c r="B1327" s="601" t="str">
        <f t="shared" si="20"/>
        <v xml:space="preserve">PRADA </v>
      </c>
      <c r="C1327" s="601" t="str">
        <f>MID(Table3[[#This Row],[Statement Code]],FIND("- ",Table3[[#This Row],[Statement Code]])+2,100)</f>
        <v>NET CASH FLOW - FINANCING</v>
      </c>
      <c r="D1327" s="602" t="s">
        <v>2888</v>
      </c>
      <c r="E1327" s="601" t="s">
        <v>2783</v>
      </c>
      <c r="F1327" s="601" t="s">
        <v>551</v>
      </c>
      <c r="G1327" s="601">
        <v>-765834</v>
      </c>
      <c r="H1327" s="601">
        <v>-468771</v>
      </c>
      <c r="I1327" s="601">
        <v>-580670</v>
      </c>
      <c r="J1327" s="601">
        <v>-789754</v>
      </c>
      <c r="K1327" s="601">
        <v>-828159</v>
      </c>
      <c r="L1327" s="601" t="s">
        <v>23</v>
      </c>
    </row>
    <row r="1328" spans="1:12" hidden="1">
      <c r="A1328" s="601" t="s">
        <v>2889</v>
      </c>
      <c r="B1328" s="601" t="str">
        <f t="shared" si="20"/>
        <v xml:space="preserve">PRADA </v>
      </c>
      <c r="C1328" s="601" t="str">
        <f>MID(Table3[[#This Row],[Statement Code]],FIND("- ",Table3[[#This Row],[Statement Code]])+2,100)</f>
        <v>NET CASH FLOW - INVESTING</v>
      </c>
      <c r="D1328" s="602" t="s">
        <v>2890</v>
      </c>
      <c r="E1328" s="601" t="s">
        <v>2783</v>
      </c>
      <c r="F1328" s="601" t="s">
        <v>551</v>
      </c>
      <c r="G1328" s="601">
        <v>336635</v>
      </c>
      <c r="H1328" s="601">
        <v>178114</v>
      </c>
      <c r="I1328" s="601">
        <v>161231</v>
      </c>
      <c r="J1328" s="601">
        <v>251438</v>
      </c>
      <c r="K1328" s="601">
        <v>811174</v>
      </c>
      <c r="L1328" s="601" t="s">
        <v>23</v>
      </c>
    </row>
    <row r="1329" spans="1:12" hidden="1">
      <c r="A1329" s="601" t="s">
        <v>2891</v>
      </c>
      <c r="B1329" s="601" t="str">
        <f t="shared" si="20"/>
        <v xml:space="preserve">PRADA </v>
      </c>
      <c r="C1329" s="601" t="str">
        <f>MID(Table3[[#This Row],[Statement Code]],FIND("- ",Table3[[#This Row],[Statement Code]])+2,100)</f>
        <v>NET CASH FLOW-OPERATING ACTIVS</v>
      </c>
      <c r="D1329" s="602" t="s">
        <v>2892</v>
      </c>
      <c r="E1329" s="601" t="s">
        <v>2783</v>
      </c>
      <c r="F1329" s="601" t="s">
        <v>551</v>
      </c>
      <c r="G1329" s="601">
        <v>898034</v>
      </c>
      <c r="H1329" s="601">
        <v>702908</v>
      </c>
      <c r="I1329" s="601">
        <v>1342301</v>
      </c>
      <c r="J1329" s="601">
        <v>1127562</v>
      </c>
      <c r="K1329" s="601">
        <v>1234035</v>
      </c>
      <c r="L1329" s="601" t="s">
        <v>23</v>
      </c>
    </row>
    <row r="1330" spans="1:12" hidden="1">
      <c r="A1330" s="601" t="s">
        <v>2893</v>
      </c>
      <c r="B1330" s="601" t="str">
        <f t="shared" si="20"/>
        <v xml:space="preserve">PRADA </v>
      </c>
      <c r="C1330" s="601" t="str">
        <f>MID(Table3[[#This Row],[Statement Code]],FIND("- ",Table3[[#This Row],[Statement Code]])+2,100)</f>
        <v>NET DEBT</v>
      </c>
      <c r="D1330" s="602" t="s">
        <v>2894</v>
      </c>
      <c r="E1330" s="601" t="s">
        <v>2783</v>
      </c>
      <c r="F1330" s="601" t="s">
        <v>551</v>
      </c>
      <c r="G1330" s="601">
        <v>3114824</v>
      </c>
      <c r="H1330" s="601">
        <v>2884358</v>
      </c>
      <c r="I1330" s="601">
        <v>2117117</v>
      </c>
      <c r="J1330" s="601">
        <v>1554651</v>
      </c>
      <c r="K1330" s="601">
        <v>2018362</v>
      </c>
      <c r="L1330" s="601" t="s">
        <v>23</v>
      </c>
    </row>
    <row r="1331" spans="1:12">
      <c r="A1331" s="601" t="s">
        <v>2895</v>
      </c>
      <c r="B1331" s="601" t="str">
        <f t="shared" si="20"/>
        <v xml:space="preserve">PRADA </v>
      </c>
      <c r="C1331" s="601" t="str">
        <f>MID(Table3[[#This Row],[Statement Code]],FIND("- ",Table3[[#This Row],[Statement Code]])+2,100)</f>
        <v>NET INCOME - DILUTED</v>
      </c>
      <c r="D1331" s="602" t="s">
        <v>2896</v>
      </c>
      <c r="E1331" s="601" t="s">
        <v>2783</v>
      </c>
      <c r="F1331" s="601" t="s">
        <v>551</v>
      </c>
      <c r="G1331" s="601">
        <v>282879</v>
      </c>
      <c r="H1331" s="601">
        <v>-64206</v>
      </c>
      <c r="I1331" s="601">
        <v>345371</v>
      </c>
      <c r="J1331" s="601">
        <v>466597</v>
      </c>
      <c r="K1331" s="601">
        <v>716380</v>
      </c>
      <c r="L1331" s="601" t="s">
        <v>23</v>
      </c>
    </row>
    <row r="1332" spans="1:12">
      <c r="A1332" s="601" t="s">
        <v>2897</v>
      </c>
      <c r="B1332" s="601" t="str">
        <f t="shared" si="20"/>
        <v xml:space="preserve">PRADA </v>
      </c>
      <c r="C1332" s="601" t="str">
        <f>MID(Table3[[#This Row],[Statement Code]],FIND("- ",Table3[[#This Row],[Statement Code]])+2,100)</f>
        <v>NET SALES OR REVENUES</v>
      </c>
      <c r="D1332" s="602" t="s">
        <v>2898</v>
      </c>
      <c r="E1332" s="601" t="s">
        <v>2783</v>
      </c>
      <c r="F1332" s="601" t="s">
        <v>551</v>
      </c>
      <c r="G1332" s="601">
        <v>3567225</v>
      </c>
      <c r="H1332" s="601">
        <v>2873249</v>
      </c>
      <c r="I1332" s="601">
        <v>3950347</v>
      </c>
      <c r="J1332" s="601">
        <v>4213348</v>
      </c>
      <c r="K1332" s="601">
        <v>5045866</v>
      </c>
      <c r="L1332" s="601" t="s">
        <v>23</v>
      </c>
    </row>
    <row r="1333" spans="1:12" hidden="1">
      <c r="A1333" s="601" t="s">
        <v>2899</v>
      </c>
      <c r="B1333" s="601" t="str">
        <f t="shared" si="20"/>
        <v xml:space="preserve">PRADA </v>
      </c>
      <c r="C1333" s="601" t="str">
        <f>MID(Table3[[#This Row],[Statement Code]],FIND("- ",Table3[[#This Row],[Statement Code]])+2,100)</f>
        <v>NON-OPERATING INTEREST INCOME</v>
      </c>
      <c r="D1333" s="602" t="s">
        <v>2900</v>
      </c>
      <c r="E1333" s="601" t="s">
        <v>2783</v>
      </c>
      <c r="F1333" s="601" t="s">
        <v>551</v>
      </c>
      <c r="G1333" s="601">
        <v>4573</v>
      </c>
      <c r="H1333" s="601">
        <v>2317</v>
      </c>
      <c r="I1333" s="601">
        <v>3041</v>
      </c>
      <c r="J1333" s="601">
        <v>6645</v>
      </c>
      <c r="K1333" s="601">
        <v>27826</v>
      </c>
      <c r="L1333" s="601" t="s">
        <v>23</v>
      </c>
    </row>
    <row r="1334" spans="1:12" hidden="1">
      <c r="A1334" s="601" t="s">
        <v>2901</v>
      </c>
      <c r="B1334" s="601" t="str">
        <f t="shared" si="20"/>
        <v xml:space="preserve">PRADA </v>
      </c>
      <c r="C1334" s="601" t="str">
        <f>MID(Table3[[#This Row],[Statement Code]],FIND("- ",Table3[[#This Row],[Statement Code]])+2,100)</f>
        <v>OPERATING EXPENSES - TOTAL</v>
      </c>
      <c r="D1334" s="602" t="s">
        <v>2902</v>
      </c>
      <c r="E1334" s="601" t="s">
        <v>2783</v>
      </c>
      <c r="F1334" s="601" t="s">
        <v>551</v>
      </c>
      <c r="G1334" s="601">
        <v>3227954</v>
      </c>
      <c r="H1334" s="601">
        <v>2849458</v>
      </c>
      <c r="I1334" s="601">
        <v>3375830</v>
      </c>
      <c r="J1334" s="601">
        <v>3435017</v>
      </c>
      <c r="K1334" s="601">
        <v>3912415</v>
      </c>
      <c r="L1334" s="601" t="s">
        <v>23</v>
      </c>
    </row>
    <row r="1335" spans="1:12">
      <c r="A1335" s="601" t="s">
        <v>2903</v>
      </c>
      <c r="B1335" s="601" t="str">
        <f t="shared" si="20"/>
        <v xml:space="preserve">PRADA </v>
      </c>
      <c r="C1335" s="601" t="str">
        <f>MID(Table3[[#This Row],[Statement Code]],FIND("- ",Table3[[#This Row],[Statement Code]])+2,100)</f>
        <v>OPERATING INCOME</v>
      </c>
      <c r="D1335" s="602" t="s">
        <v>2904</v>
      </c>
      <c r="E1335" s="601" t="s">
        <v>2783</v>
      </c>
      <c r="F1335" s="601" t="s">
        <v>551</v>
      </c>
      <c r="G1335" s="601">
        <v>339271</v>
      </c>
      <c r="H1335" s="601">
        <v>23791</v>
      </c>
      <c r="I1335" s="601">
        <v>574517</v>
      </c>
      <c r="J1335" s="601">
        <v>778331</v>
      </c>
      <c r="K1335" s="601">
        <v>1133451</v>
      </c>
      <c r="L1335" s="601" t="s">
        <v>23</v>
      </c>
    </row>
    <row r="1336" spans="1:12" hidden="1">
      <c r="A1336" s="601" t="s">
        <v>2905</v>
      </c>
      <c r="B1336" s="601" t="str">
        <f t="shared" si="20"/>
        <v xml:space="preserve">PRADA </v>
      </c>
      <c r="C1336" s="601" t="str">
        <f>MID(Table3[[#This Row],[Statement Code]],FIND("- ",Table3[[#This Row],[Statement Code]])+2,100)</f>
        <v>PRETAX INCOME</v>
      </c>
      <c r="D1336" s="602" t="s">
        <v>2906</v>
      </c>
      <c r="E1336" s="601" t="s">
        <v>2783</v>
      </c>
      <c r="F1336" s="601" t="s">
        <v>551</v>
      </c>
      <c r="G1336" s="601">
        <v>259624</v>
      </c>
      <c r="H1336" s="601">
        <v>-61446</v>
      </c>
      <c r="I1336" s="601">
        <v>494904</v>
      </c>
      <c r="J1336" s="601">
        <v>713120</v>
      </c>
      <c r="K1336" s="601">
        <v>1037124</v>
      </c>
      <c r="L1336" s="601" t="s">
        <v>23</v>
      </c>
    </row>
    <row r="1337" spans="1:12" hidden="1">
      <c r="A1337" s="601" t="s">
        <v>2907</v>
      </c>
      <c r="B1337" s="601" t="str">
        <f t="shared" si="20"/>
        <v xml:space="preserve">PRADA </v>
      </c>
      <c r="C1337" s="601" t="str">
        <f>MID(Table3[[#This Row],[Statement Code]],FIND("- ",Table3[[#This Row],[Statement Code]])+2,100)</f>
        <v>PROPERTY, PLANT &amp; EQUIP - NET</v>
      </c>
      <c r="D1337" s="602" t="s">
        <v>2908</v>
      </c>
      <c r="E1337" s="601" t="s">
        <v>2783</v>
      </c>
      <c r="F1337" s="601" t="s">
        <v>551</v>
      </c>
      <c r="G1337" s="601">
        <v>4429535</v>
      </c>
      <c r="H1337" s="601">
        <v>4222398</v>
      </c>
      <c r="I1337" s="601">
        <v>4132831</v>
      </c>
      <c r="J1337" s="601">
        <v>3599426</v>
      </c>
      <c r="K1337" s="601">
        <v>4331667</v>
      </c>
      <c r="L1337" s="601" t="s">
        <v>23</v>
      </c>
    </row>
    <row r="1338" spans="1:12" hidden="1">
      <c r="A1338" s="601" t="s">
        <v>2909</v>
      </c>
      <c r="B1338" s="601" t="str">
        <f t="shared" si="20"/>
        <v xml:space="preserve">PRADA </v>
      </c>
      <c r="C1338" s="601" t="str">
        <f>MID(Table3[[#This Row],[Statement Code]],FIND("- ",Table3[[#This Row],[Statement Code]])+2,100)</f>
        <v>RECEIVABLES(NET)</v>
      </c>
      <c r="D1338" s="602" t="s">
        <v>2910</v>
      </c>
      <c r="E1338" s="601" t="s">
        <v>2783</v>
      </c>
      <c r="F1338" s="601" t="s">
        <v>551</v>
      </c>
      <c r="G1338" s="601">
        <v>522618</v>
      </c>
      <c r="H1338" s="601">
        <v>535416</v>
      </c>
      <c r="I1338" s="601">
        <v>516903</v>
      </c>
      <c r="J1338" s="601">
        <v>446032</v>
      </c>
      <c r="K1338" s="601">
        <v>562042</v>
      </c>
      <c r="L1338" s="601" t="s">
        <v>23</v>
      </c>
    </row>
    <row r="1339" spans="1:12" hidden="1">
      <c r="A1339" s="601" t="s">
        <v>2911</v>
      </c>
      <c r="B1339" s="601" t="str">
        <f t="shared" si="20"/>
        <v xml:space="preserve">PRADA </v>
      </c>
      <c r="C1339" s="601" t="str">
        <f>MID(Table3[[#This Row],[Statement Code]],FIND("- ",Table3[[#This Row],[Statement Code]])+2,100)</f>
        <v>RESEARCH &amp; DEVELOPMENT</v>
      </c>
      <c r="D1339" s="602" t="s">
        <v>2912</v>
      </c>
      <c r="E1339" s="601" t="s">
        <v>2783</v>
      </c>
      <c r="F1339" s="601" t="s">
        <v>551</v>
      </c>
      <c r="G1339" s="601">
        <v>140869</v>
      </c>
      <c r="H1339" s="601">
        <v>121242</v>
      </c>
      <c r="I1339" s="601">
        <v>135352</v>
      </c>
      <c r="J1339" s="601">
        <v>137884</v>
      </c>
      <c r="K1339" s="601">
        <v>160796</v>
      </c>
      <c r="L1339" s="601" t="s">
        <v>23</v>
      </c>
    </row>
    <row r="1340" spans="1:12">
      <c r="A1340" s="601" t="s">
        <v>2913</v>
      </c>
      <c r="B1340" s="601" t="str">
        <f t="shared" si="20"/>
        <v xml:space="preserve">PRADA </v>
      </c>
      <c r="C1340" s="601" t="str">
        <f>MID(Table3[[#This Row],[Statement Code]],FIND("- ",Table3[[#This Row],[Statement Code]])+2,100)</f>
        <v>SELLING, GENERAL &amp; ADMINISTRAT</v>
      </c>
      <c r="D1340" s="602" t="s">
        <v>2914</v>
      </c>
      <c r="E1340" s="601" t="s">
        <v>2783</v>
      </c>
      <c r="F1340" s="601" t="s">
        <v>551</v>
      </c>
      <c r="G1340" s="601">
        <v>2226017</v>
      </c>
      <c r="H1340" s="601">
        <v>2043769</v>
      </c>
      <c r="I1340" s="601">
        <v>2415366</v>
      </c>
      <c r="J1340" s="601">
        <v>2543756</v>
      </c>
      <c r="K1340" s="601">
        <v>2925279</v>
      </c>
      <c r="L1340" s="601" t="s">
        <v>23</v>
      </c>
    </row>
    <row r="1341" spans="1:12" hidden="1">
      <c r="A1341" s="601" t="s">
        <v>2915</v>
      </c>
      <c r="B1341" s="601" t="str">
        <f t="shared" si="20"/>
        <v xml:space="preserve">PRADA </v>
      </c>
      <c r="C1341" s="601" t="str">
        <f>MID(Table3[[#This Row],[Statement Code]],FIND("- ",Table3[[#This Row],[Statement Code]])+2,100)</f>
        <v>SHORT TERM DEBT &amp; CURRENT PORT</v>
      </c>
      <c r="D1341" s="602" t="s">
        <v>2916</v>
      </c>
      <c r="E1341" s="601" t="s">
        <v>2783</v>
      </c>
      <c r="F1341" s="601" t="s">
        <v>551</v>
      </c>
      <c r="G1341" s="601">
        <v>719950</v>
      </c>
      <c r="H1341" s="601">
        <v>835111</v>
      </c>
      <c r="I1341" s="601">
        <v>783244</v>
      </c>
      <c r="J1341" s="601">
        <v>554641</v>
      </c>
      <c r="K1341" s="601">
        <v>597452</v>
      </c>
      <c r="L1341" s="601" t="s">
        <v>23</v>
      </c>
    </row>
    <row r="1342" spans="1:12">
      <c r="A1342" s="601" t="s">
        <v>2917</v>
      </c>
      <c r="B1342" s="601" t="str">
        <f t="shared" si="20"/>
        <v xml:space="preserve">PRADA </v>
      </c>
      <c r="C1342" s="601" t="str">
        <f>MID(Table3[[#This Row],[Statement Code]],FIND("- ",Table3[[#This Row],[Statement Code]])+2,100)</f>
        <v>TOTAL ASSETS</v>
      </c>
      <c r="D1342" s="602" t="s">
        <v>2918</v>
      </c>
      <c r="E1342" s="601" t="s">
        <v>2783</v>
      </c>
      <c r="F1342" s="601" t="s">
        <v>551</v>
      </c>
      <c r="G1342" s="601">
        <v>7513827</v>
      </c>
      <c r="H1342" s="601">
        <v>7443073</v>
      </c>
      <c r="I1342" s="601">
        <v>7830523</v>
      </c>
      <c r="J1342" s="601">
        <v>7025621</v>
      </c>
      <c r="K1342" s="601">
        <v>7729564</v>
      </c>
      <c r="L1342" s="601" t="s">
        <v>23</v>
      </c>
    </row>
    <row r="1343" spans="1:12" hidden="1">
      <c r="A1343" s="601" t="s">
        <v>2919</v>
      </c>
      <c r="B1343" s="601" t="str">
        <f t="shared" si="20"/>
        <v xml:space="preserve">PRADA </v>
      </c>
      <c r="C1343" s="601" t="str">
        <f>MID(Table3[[#This Row],[Statement Code]],FIND("- ",Table3[[#This Row],[Statement Code]])+2,100)</f>
        <v>TOTAL CAPITAL</v>
      </c>
      <c r="D1343" s="602" t="s">
        <v>2920</v>
      </c>
      <c r="E1343" s="601" t="s">
        <v>2783</v>
      </c>
      <c r="F1343" s="601" t="s">
        <v>551</v>
      </c>
      <c r="G1343" s="601">
        <v>6169307</v>
      </c>
      <c r="H1343" s="601">
        <v>5968580</v>
      </c>
      <c r="I1343" s="601">
        <v>6160429</v>
      </c>
      <c r="J1343" s="601">
        <v>5629061</v>
      </c>
      <c r="K1343" s="601">
        <v>6314609</v>
      </c>
      <c r="L1343" s="601" t="s">
        <v>23</v>
      </c>
    </row>
    <row r="1344" spans="1:12">
      <c r="A1344" s="601" t="s">
        <v>2921</v>
      </c>
      <c r="B1344" s="601" t="str">
        <f t="shared" si="20"/>
        <v xml:space="preserve">PRADA </v>
      </c>
      <c r="C1344" s="601" t="str">
        <f>MID(Table3[[#This Row],[Statement Code]],FIND("- ",Table3[[#This Row],[Statement Code]])+2,100)</f>
        <v>TOTAL DEBT</v>
      </c>
      <c r="D1344" s="602" t="s">
        <v>2922</v>
      </c>
      <c r="E1344" s="601" t="s">
        <v>2783</v>
      </c>
      <c r="F1344" s="601" t="s">
        <v>551</v>
      </c>
      <c r="G1344" s="601">
        <v>3584155</v>
      </c>
      <c r="H1344" s="601">
        <v>3421692</v>
      </c>
      <c r="I1344" s="601">
        <v>3271525</v>
      </c>
      <c r="J1344" s="601">
        <v>2672118</v>
      </c>
      <c r="K1344" s="601">
        <v>2773221</v>
      </c>
      <c r="L1344" s="601" t="s">
        <v>23</v>
      </c>
    </row>
    <row r="1345" spans="1:12" hidden="1">
      <c r="A1345" s="601" t="s">
        <v>2923</v>
      </c>
      <c r="B1345" s="601" t="str">
        <f t="shared" si="20"/>
        <v xml:space="preserve">PRADA </v>
      </c>
      <c r="C1345" s="601" t="str">
        <f>MID(Table3[[#This Row],[Statement Code]],FIND("- ",Table3[[#This Row],[Statement Code]])+2,100)</f>
        <v>TOTAL INTANGIBLE OT ASSETS-NET</v>
      </c>
      <c r="D1345" s="602" t="s">
        <v>2924</v>
      </c>
      <c r="E1345" s="601" t="s">
        <v>2783</v>
      </c>
      <c r="F1345" s="601" t="s">
        <v>551</v>
      </c>
      <c r="G1345" s="601">
        <v>933202</v>
      </c>
      <c r="H1345" s="601">
        <v>987239</v>
      </c>
      <c r="I1345" s="601">
        <v>973488</v>
      </c>
      <c r="J1345" s="601">
        <v>820276</v>
      </c>
      <c r="K1345" s="601">
        <v>903206</v>
      </c>
      <c r="L1345" s="601" t="s">
        <v>23</v>
      </c>
    </row>
    <row r="1346" spans="1:12">
      <c r="A1346" s="601" t="s">
        <v>2925</v>
      </c>
      <c r="B1346" s="601" t="str">
        <f t="shared" si="20"/>
        <v xml:space="preserve">PRADA </v>
      </c>
      <c r="C1346" s="601" t="str">
        <f>MID(Table3[[#This Row],[Statement Code]],FIND("- ",Table3[[#This Row],[Statement Code]])+2,100)</f>
        <v>TOTAL LIABILITIES</v>
      </c>
      <c r="D1346" s="602" t="s">
        <v>2926</v>
      </c>
      <c r="E1346" s="601" t="s">
        <v>2783</v>
      </c>
      <c r="F1346" s="601" t="s">
        <v>551</v>
      </c>
      <c r="G1346" s="601">
        <v>4208725</v>
      </c>
      <c r="H1346" s="601">
        <v>4061073</v>
      </c>
      <c r="I1346" s="601">
        <v>4158376</v>
      </c>
      <c r="J1346" s="601">
        <v>3514036</v>
      </c>
      <c r="K1346" s="601">
        <v>3590725</v>
      </c>
      <c r="L1346" s="601" t="s">
        <v>23</v>
      </c>
    </row>
    <row r="1347" spans="1:12" hidden="1">
      <c r="A1347" s="601" t="s">
        <v>2927</v>
      </c>
      <c r="B1347" s="601" t="str">
        <f t="shared" ref="B1347:B1410" si="21">LEFT(A1347,FIND(" ",A1347))</f>
        <v xml:space="preserve">PRADA </v>
      </c>
      <c r="C1347" s="601" t="str">
        <f>MID(Table3[[#This Row],[Statement Code]],FIND("- ",Table3[[#This Row],[Statement Code]])+2,100)</f>
        <v>TOTAL LIABILITIES &amp; SHAREHOLDE</v>
      </c>
      <c r="D1347" s="602" t="s">
        <v>2928</v>
      </c>
      <c r="E1347" s="601" t="s">
        <v>2783</v>
      </c>
      <c r="F1347" s="601" t="s">
        <v>551</v>
      </c>
      <c r="G1347" s="601">
        <v>7513827</v>
      </c>
      <c r="H1347" s="601">
        <v>7443073</v>
      </c>
      <c r="I1347" s="601">
        <v>7830523</v>
      </c>
      <c r="J1347" s="601">
        <v>7025621</v>
      </c>
      <c r="K1347" s="601">
        <v>7729564</v>
      </c>
      <c r="L1347" s="601" t="s">
        <v>23</v>
      </c>
    </row>
    <row r="1348" spans="1:12" hidden="1">
      <c r="A1348" s="601" t="s">
        <v>2929</v>
      </c>
      <c r="B1348" s="601" t="str">
        <f t="shared" si="21"/>
        <v xml:space="preserve">PRADA </v>
      </c>
      <c r="C1348" s="601" t="str">
        <f>MID(Table3[[#This Row],[Statement Code]],FIND("- ",Table3[[#This Row],[Statement Code]])+2,100)</f>
        <v>TOTAL SHAREHOLDERS EQUITY</v>
      </c>
      <c r="D1348" s="602" t="s">
        <v>2930</v>
      </c>
      <c r="E1348" s="601" t="s">
        <v>2783</v>
      </c>
      <c r="F1348" s="601" t="s">
        <v>551</v>
      </c>
      <c r="G1348" s="601">
        <v>3281417</v>
      </c>
      <c r="H1348" s="601">
        <v>3358680</v>
      </c>
      <c r="I1348" s="601">
        <v>3654836</v>
      </c>
      <c r="J1348" s="601">
        <v>3492723</v>
      </c>
      <c r="K1348" s="601">
        <v>4114270</v>
      </c>
      <c r="L1348" s="601" t="s">
        <v>23</v>
      </c>
    </row>
    <row r="1349" spans="1:12" hidden="1">
      <c r="A1349" s="601" t="s">
        <v>2931</v>
      </c>
      <c r="B1349" s="601" t="str">
        <f t="shared" si="21"/>
        <v xml:space="preserve">PRADA </v>
      </c>
      <c r="C1349" s="601" t="str">
        <f>MID(Table3[[#This Row],[Statement Code]],FIND("- ",Table3[[#This Row],[Statement Code]])+2,100)</f>
        <v>WORKING CAPITAL</v>
      </c>
      <c r="D1349" s="602" t="s">
        <v>2932</v>
      </c>
      <c r="E1349" s="601" t="s">
        <v>2783</v>
      </c>
      <c r="F1349" s="601" t="s">
        <v>551</v>
      </c>
      <c r="G1349" s="601">
        <v>515101</v>
      </c>
      <c r="H1349" s="601">
        <v>507166</v>
      </c>
      <c r="I1349" s="601">
        <v>880411</v>
      </c>
      <c r="J1349" s="601">
        <v>937721</v>
      </c>
      <c r="K1349" s="601">
        <v>760515</v>
      </c>
      <c r="L1349" s="601" t="s">
        <v>23</v>
      </c>
    </row>
    <row r="1350" spans="1:12" hidden="1">
      <c r="A1350" s="601" t="s">
        <v>2933</v>
      </c>
      <c r="B1350" s="601" t="str">
        <f t="shared" si="21"/>
        <v xml:space="preserve">PRADA </v>
      </c>
      <c r="C1350" s="601" t="str">
        <f>MID(Table3[[#This Row],[Statement Code]],FIND("- ",Table3[[#This Row],[Statement Code]])+2,100)</f>
        <v>BK VAL PS 12M FWD</v>
      </c>
      <c r="D1350" s="602" t="s">
        <v>2934</v>
      </c>
      <c r="E1350" s="601" t="s">
        <v>2783</v>
      </c>
      <c r="F1350" s="601" t="s">
        <v>551</v>
      </c>
      <c r="G1350" s="601">
        <v>1.33</v>
      </c>
      <c r="H1350" s="601">
        <v>1.39</v>
      </c>
      <c r="I1350" s="601">
        <v>1.44</v>
      </c>
      <c r="J1350" s="601">
        <v>1.38</v>
      </c>
      <c r="K1350" s="601">
        <v>1.71</v>
      </c>
      <c r="L1350" s="601">
        <v>2</v>
      </c>
    </row>
    <row r="1351" spans="1:12" hidden="1">
      <c r="A1351" s="601" t="s">
        <v>2935</v>
      </c>
      <c r="B1351" s="601" t="str">
        <f t="shared" si="21"/>
        <v xml:space="preserve">PRADA </v>
      </c>
      <c r="C1351" s="601" t="str">
        <f>MID(Table3[[#This Row],[Statement Code]],FIND("- ",Table3[[#This Row],[Statement Code]])+2,100)</f>
        <v>EV 12M FWD</v>
      </c>
      <c r="D1351" s="602" t="s">
        <v>2936</v>
      </c>
      <c r="E1351" s="601" t="s">
        <v>2783</v>
      </c>
      <c r="F1351" s="601" t="s">
        <v>551</v>
      </c>
      <c r="G1351" s="601">
        <v>8235800.0499999998</v>
      </c>
      <c r="H1351" s="601">
        <v>11369232.189999999</v>
      </c>
      <c r="I1351" s="601">
        <v>16978595.66</v>
      </c>
      <c r="J1351" s="601">
        <v>14628373.359999999</v>
      </c>
      <c r="K1351" s="601">
        <v>17189743.210000001</v>
      </c>
      <c r="L1351" s="601">
        <v>18217490.199999999</v>
      </c>
    </row>
    <row r="1352" spans="1:12" hidden="1">
      <c r="A1352" s="601" t="s">
        <v>2937</v>
      </c>
      <c r="B1352" s="601" t="str">
        <f t="shared" si="21"/>
        <v xml:space="preserve">PRADA </v>
      </c>
      <c r="C1352" s="601" t="str">
        <f>MID(Table3[[#This Row],[Statement Code]],FIND("- ",Table3[[#This Row],[Statement Code]])+2,100)</f>
        <v>NET INCOME 12M FWD</v>
      </c>
      <c r="D1352" s="602" t="s">
        <v>2938</v>
      </c>
      <c r="E1352" s="601" t="s">
        <v>2783</v>
      </c>
      <c r="F1352" s="601" t="s">
        <v>551</v>
      </c>
      <c r="G1352" s="601">
        <v>282188.37</v>
      </c>
      <c r="H1352" s="601">
        <v>134095.44</v>
      </c>
      <c r="I1352" s="601">
        <v>365058.92</v>
      </c>
      <c r="J1352" s="601">
        <v>517398.84</v>
      </c>
      <c r="K1352" s="601">
        <v>783733.32</v>
      </c>
      <c r="L1352" s="601">
        <v>979367.58</v>
      </c>
    </row>
    <row r="1353" spans="1:12" hidden="1">
      <c r="A1353" s="601" t="s">
        <v>2939</v>
      </c>
      <c r="B1353" s="601" t="str">
        <f t="shared" si="21"/>
        <v xml:space="preserve">PRADA </v>
      </c>
      <c r="C1353" s="601" t="str">
        <f>MID(Table3[[#This Row],[Statement Code]],FIND("- ",Table3[[#This Row],[Statement Code]])+2,100)</f>
        <v>PRETAX PRF 12M FWD</v>
      </c>
      <c r="D1353" s="602" t="s">
        <v>2940</v>
      </c>
      <c r="E1353" s="601" t="s">
        <v>2783</v>
      </c>
      <c r="F1353" s="601" t="s">
        <v>551</v>
      </c>
      <c r="G1353" s="601">
        <v>377086.44</v>
      </c>
      <c r="H1353" s="601">
        <v>192791.1</v>
      </c>
      <c r="I1353" s="601">
        <v>529118.55000000005</v>
      </c>
      <c r="J1353" s="601">
        <v>750532.49</v>
      </c>
      <c r="K1353" s="601">
        <v>1152798.94</v>
      </c>
      <c r="L1353" s="601">
        <v>1414071.48</v>
      </c>
    </row>
    <row r="1354" spans="1:12" hidden="1">
      <c r="A1354" s="601" t="s">
        <v>2941</v>
      </c>
      <c r="B1354" s="601" t="str">
        <f t="shared" si="21"/>
        <v xml:space="preserve">PRADA </v>
      </c>
      <c r="C1354" s="601" t="str">
        <f>MID(Table3[[#This Row],[Statement Code]],FIND("- ",Table3[[#This Row],[Statement Code]])+2,100)</f>
        <v>ROE 12M FWD</v>
      </c>
      <c r="D1354" s="602" t="s">
        <v>2942</v>
      </c>
      <c r="E1354" s="601" t="s">
        <v>2783</v>
      </c>
      <c r="F1354" s="601" t="s">
        <v>551</v>
      </c>
      <c r="G1354" s="601">
        <v>9.6</v>
      </c>
      <c r="H1354" s="601">
        <v>4.38</v>
      </c>
      <c r="I1354" s="601">
        <v>11.75</v>
      </c>
      <c r="J1354" s="601">
        <v>15.24</v>
      </c>
      <c r="K1354" s="601">
        <v>19.73</v>
      </c>
      <c r="L1354" s="601">
        <v>22.36</v>
      </c>
    </row>
    <row r="1355" spans="1:12" hidden="1">
      <c r="A1355" s="601" t="s">
        <v>2943</v>
      </c>
      <c r="B1355" s="601" t="str">
        <f t="shared" si="21"/>
        <v xml:space="preserve">PRADA </v>
      </c>
      <c r="C1355" s="601" t="str">
        <f>MID(Table3[[#This Row],[Statement Code]],FIND("- ",Table3[[#This Row],[Statement Code]])+2,100)</f>
        <v>SALES 12M FWD</v>
      </c>
      <c r="D1355" s="602" t="s">
        <v>2944</v>
      </c>
      <c r="E1355" s="601" t="s">
        <v>2783</v>
      </c>
      <c r="F1355" s="601" t="s">
        <v>551</v>
      </c>
      <c r="G1355" s="601">
        <v>3689139.41</v>
      </c>
      <c r="H1355" s="601">
        <v>3457345.02</v>
      </c>
      <c r="I1355" s="601">
        <v>4098690.81</v>
      </c>
      <c r="J1355" s="601">
        <v>4240583.74</v>
      </c>
      <c r="K1355" s="601">
        <v>5384758.1600000001</v>
      </c>
      <c r="L1355" s="601">
        <v>6300436.3499999996</v>
      </c>
    </row>
    <row r="1356" spans="1:12" hidden="1">
      <c r="A1356" s="601" t="s">
        <v>2945</v>
      </c>
      <c r="B1356" s="601" t="str">
        <f t="shared" si="21"/>
        <v xml:space="preserve">PRADA </v>
      </c>
      <c r="C1356" s="601" t="str">
        <f>MID(Table3[[#This Row],[Statement Code]],FIND("- ",Table3[[#This Row],[Statement Code]])+2,100)</f>
        <v>CHANGE IN INVENTORY</v>
      </c>
      <c r="D1356" s="602" t="s">
        <v>2946</v>
      </c>
      <c r="E1356" s="601" t="s">
        <v>2783</v>
      </c>
      <c r="F1356" s="601" t="s">
        <v>551</v>
      </c>
      <c r="G1356" s="601">
        <v>-67705</v>
      </c>
      <c r="H1356" s="601">
        <v>23808</v>
      </c>
      <c r="I1356" s="601">
        <v>15352</v>
      </c>
      <c r="J1356" s="601">
        <v>-94691</v>
      </c>
      <c r="K1356" s="601" t="s">
        <v>23</v>
      </c>
      <c r="L1356" s="601" t="s">
        <v>23</v>
      </c>
    </row>
    <row r="1357" spans="1:12" hidden="1">
      <c r="A1357" s="601" t="s">
        <v>2947</v>
      </c>
      <c r="B1357" s="601" t="str">
        <f t="shared" si="21"/>
        <v xml:space="preserve">PRADA </v>
      </c>
      <c r="C1357" s="601" t="str">
        <f>MID(Table3[[#This Row],[Statement Code]],FIND("- ",Table3[[#This Row],[Statement Code]])+2,100)</f>
        <v>DECREASE/INCREASE RECEIVABLES</v>
      </c>
      <c r="D1357" s="602" t="s">
        <v>2948</v>
      </c>
      <c r="E1357" s="601" t="s">
        <v>2783</v>
      </c>
      <c r="F1357" s="601" t="s">
        <v>551</v>
      </c>
      <c r="G1357" s="601">
        <v>1191</v>
      </c>
      <c r="H1357" s="601">
        <v>19196</v>
      </c>
      <c r="I1357" s="601">
        <v>-34965</v>
      </c>
      <c r="J1357" s="601">
        <v>-3589</v>
      </c>
      <c r="K1357" s="601">
        <v>-91172</v>
      </c>
      <c r="L1357" s="601" t="s">
        <v>23</v>
      </c>
    </row>
    <row r="1358" spans="1:12" hidden="1">
      <c r="A1358" s="601" t="s">
        <v>2949</v>
      </c>
      <c r="B1358" s="601" t="str">
        <f t="shared" si="21"/>
        <v xml:space="preserve">PRADA </v>
      </c>
      <c r="C1358" s="601" t="str">
        <f>MID(Table3[[#This Row],[Statement Code]],FIND("- ",Table3[[#This Row],[Statement Code]])+2,100)</f>
        <v>DECREASE/INCR OTH ASTS/LIABILT</v>
      </c>
      <c r="D1358" s="602" t="s">
        <v>2950</v>
      </c>
      <c r="E1358" s="601" t="s">
        <v>2783</v>
      </c>
      <c r="F1358" s="601" t="s">
        <v>551</v>
      </c>
      <c r="G1358" s="601">
        <v>-36557</v>
      </c>
      <c r="H1358" s="601">
        <v>137149</v>
      </c>
      <c r="I1358" s="601">
        <v>6731</v>
      </c>
      <c r="J1358" s="601">
        <v>-18084</v>
      </c>
      <c r="K1358" s="601">
        <v>-35303</v>
      </c>
      <c r="L1358" s="601" t="s">
        <v>23</v>
      </c>
    </row>
    <row r="1359" spans="1:12" hidden="1">
      <c r="A1359" s="601" t="s">
        <v>2951</v>
      </c>
      <c r="B1359" s="601" t="str">
        <f t="shared" si="21"/>
        <v xml:space="preserve">PRADA </v>
      </c>
      <c r="C1359" s="601" t="str">
        <f>MID(Table3[[#This Row],[Statement Code]],FIND("- ",Table3[[#This Row],[Statement Code]])+2,100)</f>
        <v>DECREASE/INCREASE INVENTORIES</v>
      </c>
      <c r="D1359" s="602" t="s">
        <v>2952</v>
      </c>
      <c r="E1359" s="601" t="s">
        <v>2783</v>
      </c>
      <c r="F1359" s="601" t="s">
        <v>551</v>
      </c>
      <c r="G1359" s="601">
        <v>-67150</v>
      </c>
      <c r="H1359" s="601">
        <v>10832</v>
      </c>
      <c r="I1359" s="601">
        <v>13500</v>
      </c>
      <c r="J1359" s="601">
        <v>-122194</v>
      </c>
      <c r="K1359" s="601">
        <v>-64892</v>
      </c>
      <c r="L1359" s="601" t="s">
        <v>23</v>
      </c>
    </row>
    <row r="1360" spans="1:12" hidden="1">
      <c r="A1360" s="601" t="s">
        <v>2953</v>
      </c>
      <c r="B1360" s="601" t="str">
        <f t="shared" si="21"/>
        <v xml:space="preserve">PRADA </v>
      </c>
      <c r="C1360" s="601" t="str">
        <f>MID(Table3[[#This Row],[Statement Code]],FIND("- ",Table3[[#This Row],[Statement Code]])+2,100)</f>
        <v>DECREASE IN INVESTMENTS</v>
      </c>
      <c r="D1360" s="602" t="s">
        <v>2954</v>
      </c>
      <c r="E1360" s="601" t="s">
        <v>2783</v>
      </c>
      <c r="F1360" s="601" t="s">
        <v>551</v>
      </c>
      <c r="G1360" s="601">
        <v>31047</v>
      </c>
      <c r="H1360" s="601">
        <v>0</v>
      </c>
      <c r="I1360" s="601">
        <v>89747</v>
      </c>
      <c r="J1360" s="601">
        <v>0</v>
      </c>
      <c r="K1360" s="601">
        <v>0</v>
      </c>
      <c r="L1360" s="601" t="s">
        <v>23</v>
      </c>
    </row>
    <row r="1361" spans="1:12" hidden="1">
      <c r="A1361" s="601" t="s">
        <v>2955</v>
      </c>
      <c r="B1361" s="601" t="str">
        <f t="shared" si="21"/>
        <v xml:space="preserve">TJX </v>
      </c>
      <c r="C1361" s="601" t="str">
        <f>MID(Table3[[#This Row],[Statement Code]],FIND("- ",Table3[[#This Row],[Statement Code]])+2,100)</f>
        <v>MARKET VALUE</v>
      </c>
      <c r="D1361" s="602" t="s">
        <v>2956</v>
      </c>
      <c r="E1361" s="601" t="s">
        <v>2957</v>
      </c>
      <c r="F1361" s="601" t="s">
        <v>551</v>
      </c>
      <c r="G1361" s="601">
        <v>68026.63</v>
      </c>
      <c r="H1361" s="601">
        <v>67171.31</v>
      </c>
      <c r="I1361" s="601">
        <v>84670.75</v>
      </c>
      <c r="J1361" s="601">
        <v>75073.63</v>
      </c>
      <c r="K1361" s="601">
        <v>105186.8</v>
      </c>
      <c r="L1361" s="601">
        <v>132243.1</v>
      </c>
    </row>
    <row r="1362" spans="1:12" hidden="1">
      <c r="A1362" s="601" t="s">
        <v>2958</v>
      </c>
      <c r="B1362" s="601" t="str">
        <f t="shared" si="21"/>
        <v xml:space="preserve">TJX </v>
      </c>
      <c r="C1362" s="601" t="str">
        <f>MID(Table3[[#This Row],[Statement Code]],FIND("- ",Table3[[#This Row],[Statement Code]])+2,100)</f>
        <v>PER</v>
      </c>
      <c r="D1362" s="602" t="s">
        <v>2959</v>
      </c>
      <c r="E1362" s="601" t="s">
        <v>2957</v>
      </c>
      <c r="F1362" s="601" t="s">
        <v>551</v>
      </c>
      <c r="G1362" s="601">
        <v>22.8</v>
      </c>
      <c r="H1362" s="601">
        <v>99.5</v>
      </c>
      <c r="I1362" s="601">
        <v>33.9</v>
      </c>
      <c r="J1362" s="601">
        <v>23.1</v>
      </c>
      <c r="K1362" s="601">
        <v>27</v>
      </c>
      <c r="L1362" s="601">
        <v>28.3</v>
      </c>
    </row>
    <row r="1363" spans="1:12" hidden="1">
      <c r="A1363" s="601" t="s">
        <v>2960</v>
      </c>
      <c r="B1363" s="601" t="str">
        <f t="shared" si="21"/>
        <v xml:space="preserve">TJX </v>
      </c>
      <c r="C1363" s="601" t="str">
        <f>MID(Table3[[#This Row],[Statement Code]],FIND("- ",Table3[[#This Row],[Statement Code]])+2,100)</f>
        <v>12MTH FORWARD EPS</v>
      </c>
      <c r="D1363" s="602" t="s">
        <v>2961</v>
      </c>
      <c r="E1363" s="601" t="s">
        <v>2957</v>
      </c>
      <c r="F1363" s="601" t="s">
        <v>551</v>
      </c>
      <c r="G1363" s="601">
        <v>2.754</v>
      </c>
      <c r="H1363" s="601">
        <v>1.7330000000000001</v>
      </c>
      <c r="I1363" s="601">
        <v>3.2429999999999999</v>
      </c>
      <c r="J1363" s="601">
        <v>3.36</v>
      </c>
      <c r="K1363" s="601">
        <v>3.9529999999999998</v>
      </c>
      <c r="L1363" s="601">
        <v>4.4169999999999998</v>
      </c>
    </row>
    <row r="1364" spans="1:12" hidden="1">
      <c r="A1364" s="601" t="s">
        <v>2962</v>
      </c>
      <c r="B1364" s="601" t="e">
        <f t="shared" si="21"/>
        <v>#VALUE!</v>
      </c>
      <c r="C1364" s="601" t="e">
        <f>MID(Table3[[#This Row],[Statement Code]],FIND("- ",Table3[[#This Row],[Statement Code]])+2,100)</f>
        <v>#VALUE!</v>
      </c>
      <c r="D1364" s="602" t="s">
        <v>2963</v>
      </c>
      <c r="E1364" s="601" t="s">
        <v>2957</v>
      </c>
      <c r="F1364" s="601" t="s">
        <v>551</v>
      </c>
      <c r="G1364" s="601">
        <v>5.3550000000000004</v>
      </c>
      <c r="H1364" s="601">
        <v>3.024</v>
      </c>
      <c r="I1364" s="601">
        <v>4.6680000000000001</v>
      </c>
      <c r="J1364" s="601">
        <v>5.2210000000000001</v>
      </c>
      <c r="K1364" s="601">
        <v>4.2549999999999999</v>
      </c>
      <c r="L1364" s="601">
        <v>3.7490000000000001</v>
      </c>
    </row>
    <row r="1365" spans="1:12" hidden="1">
      <c r="A1365" s="601" t="s">
        <v>2962</v>
      </c>
      <c r="B1365" s="601" t="e">
        <f t="shared" si="21"/>
        <v>#VALUE!</v>
      </c>
      <c r="C1365" s="601" t="e">
        <f>MID(Table3[[#This Row],[Statement Code]],FIND("- ",Table3[[#This Row],[Statement Code]])+2,100)</f>
        <v>#VALUE!</v>
      </c>
      <c r="D1365" s="602" t="s">
        <v>2964</v>
      </c>
      <c r="E1365" s="601" t="s">
        <v>2957</v>
      </c>
      <c r="F1365" s="601" t="s">
        <v>551</v>
      </c>
      <c r="G1365" s="601">
        <v>14.99</v>
      </c>
      <c r="H1365" s="601">
        <v>21.14</v>
      </c>
      <c r="I1365" s="601">
        <v>15.186999999999999</v>
      </c>
      <c r="J1365" s="601">
        <v>13.925000000000001</v>
      </c>
      <c r="K1365" s="601">
        <v>17.14</v>
      </c>
      <c r="L1365" s="601">
        <v>19.765000000000001</v>
      </c>
    </row>
    <row r="1366" spans="1:12" hidden="1">
      <c r="A1366" s="601" t="s">
        <v>2962</v>
      </c>
      <c r="B1366" s="601" t="e">
        <f t="shared" si="21"/>
        <v>#VALUE!</v>
      </c>
      <c r="C1366" s="601" t="e">
        <f>MID(Table3[[#This Row],[Statement Code]],FIND("- ",Table3[[#This Row],[Statement Code]])+2,100)</f>
        <v>#VALUE!</v>
      </c>
      <c r="D1366" s="602" t="s">
        <v>2965</v>
      </c>
      <c r="E1366" s="601" t="s">
        <v>2957</v>
      </c>
      <c r="F1366" s="601" t="s">
        <v>551</v>
      </c>
      <c r="G1366" s="601">
        <v>12.449</v>
      </c>
      <c r="H1366" s="601">
        <v>16.126000000000001</v>
      </c>
      <c r="I1366" s="601">
        <v>12.823</v>
      </c>
      <c r="J1366" s="601">
        <v>11.722</v>
      </c>
      <c r="K1366" s="601">
        <v>14.602</v>
      </c>
      <c r="L1366" s="601">
        <v>16.914999999999999</v>
      </c>
    </row>
    <row r="1367" spans="1:12" hidden="1">
      <c r="A1367" s="601" t="s">
        <v>2962</v>
      </c>
      <c r="B1367" s="601" t="e">
        <f t="shared" si="21"/>
        <v>#VALUE!</v>
      </c>
      <c r="C1367" s="601" t="e">
        <f>MID(Table3[[#This Row],[Statement Code]],FIND("- ",Table3[[#This Row],[Statement Code]])+2,100)</f>
        <v>#VALUE!</v>
      </c>
      <c r="D1367" s="602" t="s">
        <v>2966</v>
      </c>
      <c r="E1367" s="601" t="s">
        <v>2957</v>
      </c>
      <c r="F1367" s="601" t="s">
        <v>551</v>
      </c>
      <c r="G1367" s="601">
        <v>4.157</v>
      </c>
      <c r="H1367" s="601">
        <v>3.1417000000000002</v>
      </c>
      <c r="I1367" s="601">
        <v>3.4228000000000001</v>
      </c>
      <c r="J1367" s="601">
        <v>3.3302</v>
      </c>
      <c r="K1367" s="601">
        <v>3.2810999999999999</v>
      </c>
      <c r="L1367" s="601">
        <v>3.0242</v>
      </c>
    </row>
    <row r="1368" spans="1:12" hidden="1">
      <c r="A1368" s="601" t="s">
        <v>2962</v>
      </c>
      <c r="B1368" s="601" t="e">
        <f t="shared" si="21"/>
        <v>#VALUE!</v>
      </c>
      <c r="C1368" s="601" t="e">
        <f>MID(Table3[[#This Row],[Statement Code]],FIND("- ",Table3[[#This Row],[Statement Code]])+2,100)</f>
        <v>#VALUE!</v>
      </c>
      <c r="D1368" s="602" t="s">
        <v>2967</v>
      </c>
      <c r="E1368" s="601" t="s">
        <v>2957</v>
      </c>
      <c r="F1368" s="601" t="s">
        <v>551</v>
      </c>
      <c r="G1368" s="601">
        <v>1.5669999999999999</v>
      </c>
      <c r="H1368" s="601">
        <v>1.639</v>
      </c>
      <c r="I1368" s="601">
        <v>1.6220000000000001</v>
      </c>
      <c r="J1368" s="601">
        <v>1.409</v>
      </c>
      <c r="K1368" s="601">
        <v>1.8440000000000001</v>
      </c>
      <c r="L1368" s="601">
        <v>2.2280000000000002</v>
      </c>
    </row>
    <row r="1369" spans="1:12" hidden="1">
      <c r="A1369" s="601" t="s">
        <v>2962</v>
      </c>
      <c r="B1369" s="601" t="e">
        <f t="shared" si="21"/>
        <v>#VALUE!</v>
      </c>
      <c r="C1369" s="601" t="e">
        <f>MID(Table3[[#This Row],[Statement Code]],FIND("- ",Table3[[#This Row],[Statement Code]])+2,100)</f>
        <v>#VALUE!</v>
      </c>
      <c r="D1369" s="602" t="s">
        <v>2968</v>
      </c>
      <c r="E1369" s="601" t="s">
        <v>2957</v>
      </c>
      <c r="F1369" s="601" t="s">
        <v>551</v>
      </c>
      <c r="G1369" s="601">
        <v>0.51500000000000001</v>
      </c>
      <c r="H1369" s="601">
        <v>1.105</v>
      </c>
      <c r="I1369" s="601">
        <v>0.22900000000000001</v>
      </c>
      <c r="J1369" s="601">
        <v>0.997</v>
      </c>
      <c r="K1369" s="601">
        <v>0.61399999999999999</v>
      </c>
      <c r="L1369" s="601">
        <v>0.83099999999999996</v>
      </c>
    </row>
    <row r="1370" spans="1:12" hidden="1">
      <c r="A1370" s="601" t="s">
        <v>2962</v>
      </c>
      <c r="B1370" s="601" t="e">
        <f t="shared" si="21"/>
        <v>#VALUE!</v>
      </c>
      <c r="C1370" s="601" t="e">
        <f>MID(Table3[[#This Row],[Statement Code]],FIND("- ",Table3[[#This Row],[Statement Code]])+2,100)</f>
        <v>#VALUE!</v>
      </c>
      <c r="D1370" s="602" t="s">
        <v>2969</v>
      </c>
      <c r="E1370" s="601" t="s">
        <v>2957</v>
      </c>
      <c r="F1370" s="601" t="s">
        <v>551</v>
      </c>
      <c r="G1370" s="601">
        <v>4.2000000000000003E-2</v>
      </c>
      <c r="H1370" s="601">
        <v>6.4000000000000001E-2</v>
      </c>
      <c r="I1370" s="601">
        <v>1.6E-2</v>
      </c>
      <c r="J1370" s="601">
        <v>7.5999999999999998E-2</v>
      </c>
      <c r="K1370" s="601">
        <v>4.2000000000000003E-2</v>
      </c>
      <c r="L1370" s="601">
        <v>5.1999999999999998E-2</v>
      </c>
    </row>
    <row r="1371" spans="1:12" hidden="1">
      <c r="A1371" s="601" t="s">
        <v>2962</v>
      </c>
      <c r="B1371" s="601" t="e">
        <f t="shared" si="21"/>
        <v>#VALUE!</v>
      </c>
      <c r="C1371" s="601" t="e">
        <f>MID(Table3[[#This Row],[Statement Code]],FIND("- ",Table3[[#This Row],[Statement Code]])+2,100)</f>
        <v>#VALUE!</v>
      </c>
      <c r="D1371" s="602" t="s">
        <v>2970</v>
      </c>
      <c r="E1371" s="601" t="s">
        <v>2957</v>
      </c>
      <c r="F1371" s="601" t="s">
        <v>551</v>
      </c>
      <c r="G1371" s="601">
        <v>1.1100000000000001</v>
      </c>
      <c r="H1371" s="601">
        <v>1.48</v>
      </c>
      <c r="I1371" s="601">
        <v>0.98</v>
      </c>
      <c r="J1371" s="601">
        <v>1.1299999999999999</v>
      </c>
      <c r="K1371" s="601">
        <v>1.26</v>
      </c>
      <c r="L1371" s="601">
        <v>1.25</v>
      </c>
    </row>
    <row r="1372" spans="1:12" hidden="1">
      <c r="A1372" s="601" t="s">
        <v>2962</v>
      </c>
      <c r="B1372" s="601" t="e">
        <f t="shared" si="21"/>
        <v>#VALUE!</v>
      </c>
      <c r="C1372" s="601" t="e">
        <f>MID(Table3[[#This Row],[Statement Code]],FIND("- ",Table3[[#This Row],[Statement Code]])+2,100)</f>
        <v>#VALUE!</v>
      </c>
      <c r="D1372" s="602" t="s">
        <v>2971</v>
      </c>
      <c r="E1372" s="601" t="s">
        <v>2957</v>
      </c>
      <c r="F1372" s="601" t="s">
        <v>551</v>
      </c>
      <c r="G1372" s="601">
        <v>0.69</v>
      </c>
      <c r="H1372" s="601">
        <v>0.88</v>
      </c>
      <c r="I1372" s="601">
        <v>0.68</v>
      </c>
      <c r="J1372" s="601">
        <v>0.68</v>
      </c>
      <c r="K1372" s="601">
        <v>0.82</v>
      </c>
      <c r="L1372" s="601">
        <v>0.9</v>
      </c>
    </row>
    <row r="1373" spans="1:12" hidden="1">
      <c r="A1373" s="601" t="s">
        <v>2962</v>
      </c>
      <c r="B1373" s="601" t="e">
        <f t="shared" si="21"/>
        <v>#VALUE!</v>
      </c>
      <c r="C1373" s="601" t="e">
        <f>MID(Table3[[#This Row],[Statement Code]],FIND("- ",Table3[[#This Row],[Statement Code]])+2,100)</f>
        <v>#VALUE!</v>
      </c>
      <c r="D1373" s="602" t="s">
        <v>2972</v>
      </c>
      <c r="E1373" s="601" t="s">
        <v>2957</v>
      </c>
      <c r="F1373" s="601" t="s">
        <v>551</v>
      </c>
      <c r="G1373" s="601">
        <v>12.7814</v>
      </c>
      <c r="H1373" s="601">
        <v>10.1547</v>
      </c>
      <c r="I1373" s="601">
        <v>11.7677</v>
      </c>
      <c r="J1373" s="601">
        <v>11.871499999999999</v>
      </c>
      <c r="K1373" s="601">
        <v>13.146800000000001</v>
      </c>
      <c r="L1373" s="601">
        <v>14.585599999999999</v>
      </c>
    </row>
    <row r="1374" spans="1:12">
      <c r="A1374" s="601" t="s">
        <v>2973</v>
      </c>
      <c r="B1374" s="601" t="str">
        <f t="shared" si="21"/>
        <v xml:space="preserve">TJX </v>
      </c>
      <c r="C1374" s="601" t="str">
        <f>MID(Table3[[#This Row],[Statement Code]],FIND("- ",Table3[[#This Row],[Statement Code]])+2,100)</f>
        <v>12MTH TRAILING EPS</v>
      </c>
      <c r="D1374" s="602" t="s">
        <v>2974</v>
      </c>
      <c r="E1374" s="601" t="s">
        <v>2957</v>
      </c>
      <c r="F1374" s="601" t="s">
        <v>551</v>
      </c>
      <c r="G1374" s="601">
        <v>2.5409999999999999</v>
      </c>
      <c r="H1374" s="601">
        <v>0.997</v>
      </c>
      <c r="I1374" s="601">
        <v>2.0699999999999998</v>
      </c>
      <c r="J1374" s="601">
        <v>3.0169999999999999</v>
      </c>
      <c r="K1374" s="601">
        <v>3.5169999999999999</v>
      </c>
      <c r="L1374" s="601">
        <v>4.0410000000000004</v>
      </c>
    </row>
    <row r="1375" spans="1:12" hidden="1">
      <c r="A1375" s="601" t="s">
        <v>2975</v>
      </c>
      <c r="B1375" s="601" t="str">
        <f t="shared" si="21"/>
        <v xml:space="preserve">TJX </v>
      </c>
      <c r="C1375" s="601" t="str">
        <f>MID(Table3[[#This Row],[Statement Code]],FIND("- ",Table3[[#This Row],[Statement Code]])+2,100)</f>
        <v>DIV.PER SHR.</v>
      </c>
      <c r="D1375" s="602" t="s">
        <v>2976</v>
      </c>
      <c r="E1375" s="601" t="s">
        <v>2957</v>
      </c>
      <c r="F1375" s="601" t="s">
        <v>551</v>
      </c>
      <c r="G1375" s="601">
        <v>0.92</v>
      </c>
      <c r="H1375" s="601">
        <v>0</v>
      </c>
      <c r="I1375" s="601">
        <v>1.04</v>
      </c>
      <c r="J1375" s="601">
        <v>1.18</v>
      </c>
      <c r="K1375" s="601">
        <v>1.33</v>
      </c>
      <c r="L1375" s="601">
        <v>1.5</v>
      </c>
    </row>
    <row r="1376" spans="1:12" hidden="1">
      <c r="A1376" s="601" t="s">
        <v>2962</v>
      </c>
      <c r="B1376" s="601" t="e">
        <f t="shared" si="21"/>
        <v>#VALUE!</v>
      </c>
      <c r="C1376" s="601" t="e">
        <f>MID(Table3[[#This Row],[Statement Code]],FIND("- ",Table3[[#This Row],[Statement Code]])+2,100)</f>
        <v>#VALUE!</v>
      </c>
      <c r="D1376" s="602" t="s">
        <v>2977</v>
      </c>
      <c r="E1376" s="601" t="s">
        <v>2957</v>
      </c>
      <c r="F1376" s="601" t="s">
        <v>551</v>
      </c>
      <c r="G1376" s="601">
        <v>1.94</v>
      </c>
      <c r="H1376" s="601">
        <v>1.3029999999999999</v>
      </c>
      <c r="I1376" s="601">
        <v>1.6020000000000001</v>
      </c>
      <c r="J1376" s="601">
        <v>1.927</v>
      </c>
      <c r="K1376" s="601">
        <v>1.5029999999999999</v>
      </c>
      <c r="L1376" s="601">
        <v>1.32</v>
      </c>
    </row>
    <row r="1377" spans="1:12" hidden="1">
      <c r="A1377" s="601" t="s">
        <v>2960</v>
      </c>
      <c r="B1377" s="601" t="str">
        <f t="shared" si="21"/>
        <v xml:space="preserve">TJX </v>
      </c>
      <c r="C1377" s="601" t="str">
        <f>MID(Table3[[#This Row],[Statement Code]],FIND("- ",Table3[[#This Row],[Statement Code]])+2,100)</f>
        <v>12MTH FORWARD EPS</v>
      </c>
      <c r="D1377" s="602" t="s">
        <v>2961</v>
      </c>
      <c r="E1377" s="601" t="s">
        <v>2957</v>
      </c>
      <c r="F1377" s="601" t="s">
        <v>551</v>
      </c>
      <c r="G1377" s="601">
        <v>2.754</v>
      </c>
      <c r="H1377" s="601">
        <v>1.7330000000000001</v>
      </c>
      <c r="I1377" s="601">
        <v>3.2429999999999999</v>
      </c>
      <c r="J1377" s="601">
        <v>3.36</v>
      </c>
      <c r="K1377" s="601">
        <v>3.9529999999999998</v>
      </c>
      <c r="L1377" s="601">
        <v>4.4169999999999998</v>
      </c>
    </row>
    <row r="1378" spans="1:12" hidden="1">
      <c r="A1378" s="601" t="s">
        <v>2958</v>
      </c>
      <c r="B1378" s="601" t="str">
        <f t="shared" si="21"/>
        <v xml:space="preserve">TJX </v>
      </c>
      <c r="C1378" s="601" t="str">
        <f>MID(Table3[[#This Row],[Statement Code]],FIND("- ",Table3[[#This Row],[Statement Code]])+2,100)</f>
        <v>PER</v>
      </c>
      <c r="D1378" s="602" t="s">
        <v>2959</v>
      </c>
      <c r="E1378" s="601" t="s">
        <v>2957</v>
      </c>
      <c r="F1378" s="601" t="s">
        <v>551</v>
      </c>
      <c r="G1378" s="601">
        <v>22.8</v>
      </c>
      <c r="H1378" s="601">
        <v>99.5</v>
      </c>
      <c r="I1378" s="601">
        <v>33.9</v>
      </c>
      <c r="J1378" s="601">
        <v>23.1</v>
      </c>
      <c r="K1378" s="601">
        <v>27</v>
      </c>
      <c r="L1378" s="601">
        <v>28.3</v>
      </c>
    </row>
    <row r="1379" spans="1:12" hidden="1">
      <c r="A1379" s="601" t="s">
        <v>2955</v>
      </c>
      <c r="B1379" s="601" t="str">
        <f t="shared" si="21"/>
        <v xml:space="preserve">TJX </v>
      </c>
      <c r="C1379" s="601" t="str">
        <f>MID(Table3[[#This Row],[Statement Code]],FIND("- ",Table3[[#This Row],[Statement Code]])+2,100)</f>
        <v>MARKET VALUE</v>
      </c>
      <c r="D1379" s="602" t="s">
        <v>2956</v>
      </c>
      <c r="E1379" s="601" t="s">
        <v>2957</v>
      </c>
      <c r="F1379" s="601" t="s">
        <v>551</v>
      </c>
      <c r="G1379" s="601">
        <v>68026.63</v>
      </c>
      <c r="H1379" s="601">
        <v>67171.31</v>
      </c>
      <c r="I1379" s="601">
        <v>84670.75</v>
      </c>
      <c r="J1379" s="601">
        <v>75073.63</v>
      </c>
      <c r="K1379" s="601">
        <v>105186.8</v>
      </c>
      <c r="L1379" s="601">
        <v>132243.1</v>
      </c>
    </row>
    <row r="1380" spans="1:12" hidden="1">
      <c r="A1380" s="601" t="s">
        <v>2978</v>
      </c>
      <c r="B1380" s="601" t="str">
        <f t="shared" si="21"/>
        <v xml:space="preserve">TJX </v>
      </c>
      <c r="C1380" s="601" t="str">
        <f>MID(Table3[[#This Row],[Statement Code]],FIND("- ",Table3[[#This Row],[Statement Code]])+2,100)</f>
        <v>EARNINGS PER SHR</v>
      </c>
      <c r="D1380" s="602" t="s">
        <v>2979</v>
      </c>
      <c r="E1380" s="601" t="s">
        <v>2957</v>
      </c>
      <c r="F1380" s="601" t="s">
        <v>551</v>
      </c>
      <c r="G1380" s="601">
        <v>2.4700000000000002</v>
      </c>
      <c r="H1380" s="601">
        <v>0.56000000000000005</v>
      </c>
      <c r="I1380" s="601">
        <v>2.0699999999999998</v>
      </c>
      <c r="J1380" s="601">
        <v>2.8</v>
      </c>
      <c r="K1380" s="601">
        <v>3.4</v>
      </c>
      <c r="L1380" s="601">
        <v>4.1399999999999997</v>
      </c>
    </row>
    <row r="1381" spans="1:12" hidden="1">
      <c r="A1381" s="601" t="s">
        <v>2962</v>
      </c>
      <c r="B1381" s="601" t="e">
        <f t="shared" si="21"/>
        <v>#VALUE!</v>
      </c>
      <c r="C1381" s="601" t="e">
        <f>MID(Table3[[#This Row],[Statement Code]],FIND("- ",Table3[[#This Row],[Statement Code]])+2,100)</f>
        <v>#VALUE!</v>
      </c>
      <c r="D1381" s="602" t="s">
        <v>2980</v>
      </c>
      <c r="E1381" s="601" t="s">
        <v>2957</v>
      </c>
      <c r="F1381" s="601" t="s">
        <v>23</v>
      </c>
      <c r="G1381" s="601">
        <v>0.83860000000000001</v>
      </c>
      <c r="H1381" s="601">
        <v>1.1882999999999999</v>
      </c>
      <c r="I1381" s="601">
        <v>1.2209000000000001</v>
      </c>
      <c r="J1381" s="601">
        <v>1.1313</v>
      </c>
      <c r="K1381" s="601">
        <v>1.1077999999999999</v>
      </c>
      <c r="L1381" s="601">
        <v>1.0541</v>
      </c>
    </row>
    <row r="1382" spans="1:12" hidden="1">
      <c r="A1382" s="601" t="s">
        <v>2962</v>
      </c>
      <c r="B1382" s="601" t="e">
        <f t="shared" si="21"/>
        <v>#VALUE!</v>
      </c>
      <c r="C1382" s="601" t="e">
        <f>MID(Table3[[#This Row],[Statement Code]],FIND("- ",Table3[[#This Row],[Statement Code]])+2,100)</f>
        <v>#VALUE!</v>
      </c>
      <c r="D1382" s="602" t="s">
        <v>2981</v>
      </c>
      <c r="E1382" s="601" t="s">
        <v>2957</v>
      </c>
      <c r="F1382" s="601" t="s">
        <v>23</v>
      </c>
      <c r="G1382" s="601">
        <v>0.17080000000000001</v>
      </c>
      <c r="H1382" s="601">
        <v>0.27300000000000002</v>
      </c>
      <c r="I1382" s="601">
        <v>0.28039999999999998</v>
      </c>
      <c r="J1382" s="601">
        <v>0.2974</v>
      </c>
      <c r="K1382" s="601">
        <v>0.30030000000000001</v>
      </c>
      <c r="L1382" s="601">
        <v>0.28660000000000002</v>
      </c>
    </row>
    <row r="1383" spans="1:12" hidden="1">
      <c r="A1383" s="601" t="s">
        <v>2982</v>
      </c>
      <c r="B1383" s="601" t="str">
        <f t="shared" si="21"/>
        <v xml:space="preserve">TJX </v>
      </c>
      <c r="C1383" s="601" t="str">
        <f>MID(Table3[[#This Row],[Statement Code]],FIND("- ",Table3[[#This Row],[Statement Code]])+2,100)</f>
        <v>ACCOUNTS PAYABLE</v>
      </c>
      <c r="D1383" s="602" t="s">
        <v>2983</v>
      </c>
      <c r="E1383" s="601" t="s">
        <v>2957</v>
      </c>
      <c r="F1383" s="601" t="s">
        <v>551</v>
      </c>
      <c r="G1383" s="601">
        <v>2672557</v>
      </c>
      <c r="H1383" s="601">
        <v>4823397</v>
      </c>
      <c r="I1383" s="601">
        <v>4465427</v>
      </c>
      <c r="J1383" s="601">
        <v>3794000</v>
      </c>
      <c r="K1383" s="601">
        <v>3862000</v>
      </c>
      <c r="L1383" s="601" t="s">
        <v>23</v>
      </c>
    </row>
    <row r="1384" spans="1:12" hidden="1">
      <c r="A1384" s="601" t="s">
        <v>2984</v>
      </c>
      <c r="B1384" s="601" t="str">
        <f t="shared" si="21"/>
        <v xml:space="preserve">TJX </v>
      </c>
      <c r="C1384" s="601" t="str">
        <f>MID(Table3[[#This Row],[Statement Code]],FIND("- ",Table3[[#This Row],[Statement Code]])+2,100)</f>
        <v>AMORT &amp; IMPAIR OF GOODWILL</v>
      </c>
      <c r="D1384" s="602" t="s">
        <v>2985</v>
      </c>
      <c r="E1384" s="601" t="s">
        <v>2957</v>
      </c>
      <c r="F1384" s="601" t="s">
        <v>551</v>
      </c>
      <c r="G1384" s="601">
        <v>0</v>
      </c>
      <c r="H1384" s="601" t="s">
        <v>23</v>
      </c>
      <c r="I1384" s="601" t="s">
        <v>23</v>
      </c>
      <c r="J1384" s="601" t="s">
        <v>23</v>
      </c>
      <c r="K1384" s="601" t="s">
        <v>23</v>
      </c>
      <c r="L1384" s="601" t="s">
        <v>23</v>
      </c>
    </row>
    <row r="1385" spans="1:12" hidden="1">
      <c r="A1385" s="601" t="s">
        <v>2986</v>
      </c>
      <c r="B1385" s="601" t="str">
        <f t="shared" si="21"/>
        <v xml:space="preserve">TJX </v>
      </c>
      <c r="C1385" s="601" t="str">
        <f>MID(Table3[[#This Row],[Statement Code]],FIND("- ",Table3[[#This Row],[Statement Code]])+2,100)</f>
        <v>BOOK VALUE-OUT SHARES-FISCAL</v>
      </c>
      <c r="D1385" s="602" t="s">
        <v>2987</v>
      </c>
      <c r="E1385" s="601" t="s">
        <v>2957</v>
      </c>
      <c r="F1385" s="601" t="s">
        <v>551</v>
      </c>
      <c r="G1385" s="601">
        <v>4.9610000000000003</v>
      </c>
      <c r="H1385" s="601">
        <v>4.8419999999999996</v>
      </c>
      <c r="I1385" s="601">
        <v>5.0819999999999999</v>
      </c>
      <c r="J1385" s="601">
        <v>5.508</v>
      </c>
      <c r="K1385" s="601">
        <v>6.4409999999999998</v>
      </c>
      <c r="L1385" s="601" t="s">
        <v>23</v>
      </c>
    </row>
    <row r="1386" spans="1:12" hidden="1">
      <c r="A1386" s="601" t="s">
        <v>2988</v>
      </c>
      <c r="B1386" s="601" t="str">
        <f t="shared" si="21"/>
        <v xml:space="preserve">TJX </v>
      </c>
      <c r="C1386" s="601" t="str">
        <f>MID(Table3[[#This Row],[Statement Code]],FIND("- ",Table3[[#This Row],[Statement Code]])+2,100)</f>
        <v>BOOK VALUE PER SHARE</v>
      </c>
      <c r="D1386" s="602" t="s">
        <v>2989</v>
      </c>
      <c r="E1386" s="601" t="s">
        <v>2957</v>
      </c>
      <c r="F1386" s="601" t="s">
        <v>551</v>
      </c>
      <c r="G1386" s="601">
        <v>4.9610000000000003</v>
      </c>
      <c r="H1386" s="601">
        <v>4.8419999999999996</v>
      </c>
      <c r="I1386" s="601">
        <v>5.0819999999999999</v>
      </c>
      <c r="J1386" s="601">
        <v>5.508</v>
      </c>
      <c r="K1386" s="601">
        <v>6.4409999999999998</v>
      </c>
      <c r="L1386" s="601" t="s">
        <v>23</v>
      </c>
    </row>
    <row r="1387" spans="1:12">
      <c r="A1387" s="601" t="s">
        <v>2990</v>
      </c>
      <c r="B1387" s="601" t="str">
        <f t="shared" si="21"/>
        <v xml:space="preserve">TJX </v>
      </c>
      <c r="C1387" s="601" t="str">
        <f>MID(Table3[[#This Row],[Statement Code]],FIND("- ",Table3[[#This Row],[Statement Code]])+2,100)</f>
        <v>CAPITAL EXPENDITURES</v>
      </c>
      <c r="D1387" s="602" t="s">
        <v>2991</v>
      </c>
      <c r="E1387" s="601" t="s">
        <v>2957</v>
      </c>
      <c r="F1387" s="601" t="s">
        <v>551</v>
      </c>
      <c r="G1387" s="601">
        <v>1223116</v>
      </c>
      <c r="H1387" s="601">
        <v>568021</v>
      </c>
      <c r="I1387" s="601">
        <v>1044794</v>
      </c>
      <c r="J1387" s="601">
        <v>1457000</v>
      </c>
      <c r="K1387" s="601">
        <v>1722000</v>
      </c>
      <c r="L1387" s="601" t="s">
        <v>23</v>
      </c>
    </row>
    <row r="1388" spans="1:12" hidden="1">
      <c r="A1388" s="601" t="s">
        <v>2992</v>
      </c>
      <c r="B1388" s="601" t="str">
        <f t="shared" si="21"/>
        <v xml:space="preserve">TJX </v>
      </c>
      <c r="C1388" s="601" t="str">
        <f>MID(Table3[[#This Row],[Statement Code]],FIND("- ",Table3[[#This Row],[Statement Code]])+2,100)</f>
        <v>CASH</v>
      </c>
      <c r="D1388" s="602" t="s">
        <v>2993</v>
      </c>
      <c r="E1388" s="601" t="s">
        <v>2957</v>
      </c>
      <c r="F1388" s="601" t="s">
        <v>551</v>
      </c>
      <c r="G1388" s="601">
        <v>3216752</v>
      </c>
      <c r="H1388" s="601">
        <v>10469570</v>
      </c>
      <c r="I1388" s="601">
        <v>6226765</v>
      </c>
      <c r="J1388" s="601">
        <v>5477000</v>
      </c>
      <c r="K1388" s="601">
        <v>5600000</v>
      </c>
      <c r="L1388" s="601" t="s">
        <v>23</v>
      </c>
    </row>
    <row r="1389" spans="1:12" hidden="1">
      <c r="A1389" s="601" t="s">
        <v>2994</v>
      </c>
      <c r="B1389" s="601" t="str">
        <f t="shared" si="21"/>
        <v xml:space="preserve">TJX </v>
      </c>
      <c r="C1389" s="601" t="str">
        <f>MID(Table3[[#This Row],[Statement Code]],FIND("- ",Table3[[#This Row],[Statement Code]])+2,100)</f>
        <v>CASH - GENERIC</v>
      </c>
      <c r="D1389" s="602" t="s">
        <v>2995</v>
      </c>
      <c r="E1389" s="601" t="s">
        <v>2957</v>
      </c>
      <c r="F1389" s="601" t="s">
        <v>551</v>
      </c>
      <c r="G1389" s="601">
        <v>3223992</v>
      </c>
      <c r="H1389" s="601">
        <v>10469600</v>
      </c>
      <c r="I1389" s="601">
        <v>6226800</v>
      </c>
      <c r="J1389" s="601">
        <v>5477000</v>
      </c>
      <c r="K1389" s="601">
        <v>5600000</v>
      </c>
      <c r="L1389" s="601" t="s">
        <v>23</v>
      </c>
    </row>
    <row r="1390" spans="1:12">
      <c r="A1390" s="601" t="s">
        <v>2996</v>
      </c>
      <c r="B1390" s="601" t="str">
        <f t="shared" si="21"/>
        <v xml:space="preserve">TJX </v>
      </c>
      <c r="C1390" s="601" t="str">
        <f>MID(Table3[[#This Row],[Statement Code]],FIND("- ",Table3[[#This Row],[Statement Code]])+2,100)</f>
        <v>CASH &amp; SHORT TERM INVESTMENTS</v>
      </c>
      <c r="D1390" s="602" t="s">
        <v>2997</v>
      </c>
      <c r="E1390" s="601" t="s">
        <v>2957</v>
      </c>
      <c r="F1390" s="601" t="s">
        <v>551</v>
      </c>
      <c r="G1390" s="601">
        <v>3223992</v>
      </c>
      <c r="H1390" s="601">
        <v>10469570</v>
      </c>
      <c r="I1390" s="601">
        <v>6226765</v>
      </c>
      <c r="J1390" s="601">
        <v>5477000</v>
      </c>
      <c r="K1390" s="601">
        <v>5600000</v>
      </c>
      <c r="L1390" s="601" t="s">
        <v>23</v>
      </c>
    </row>
    <row r="1391" spans="1:12" hidden="1">
      <c r="A1391" s="601" t="s">
        <v>2998</v>
      </c>
      <c r="B1391" s="601" t="str">
        <f t="shared" si="21"/>
        <v xml:space="preserve">TJX </v>
      </c>
      <c r="C1391" s="601" t="str">
        <f>MID(Table3[[#This Row],[Statement Code]],FIND("- ",Table3[[#This Row],[Statement Code]])+2,100)</f>
        <v>CASH DIVIDENDS PAID - TOTAL</v>
      </c>
      <c r="D1391" s="602" t="s">
        <v>2999</v>
      </c>
      <c r="E1391" s="601" t="s">
        <v>2957</v>
      </c>
      <c r="F1391" s="601" t="s">
        <v>551</v>
      </c>
      <c r="G1391" s="601">
        <v>1071562</v>
      </c>
      <c r="H1391" s="601">
        <v>278256</v>
      </c>
      <c r="I1391" s="601">
        <v>1251833</v>
      </c>
      <c r="J1391" s="601">
        <v>1339000</v>
      </c>
      <c r="K1391" s="601">
        <v>1484000</v>
      </c>
      <c r="L1391" s="601" t="s">
        <v>23</v>
      </c>
    </row>
    <row r="1392" spans="1:12" hidden="1">
      <c r="A1392" s="601" t="s">
        <v>3000</v>
      </c>
      <c r="B1392" s="601" t="str">
        <f t="shared" si="21"/>
        <v xml:space="preserve">TJX </v>
      </c>
      <c r="C1392" s="601" t="str">
        <f>MID(Table3[[#This Row],[Statement Code]],FIND("- ",Table3[[#This Row],[Statement Code]])+2,100)</f>
        <v>CASH FLOW PER SHARE</v>
      </c>
      <c r="D1392" s="602" t="s">
        <v>3001</v>
      </c>
      <c r="E1392" s="601" t="s">
        <v>2957</v>
      </c>
      <c r="F1392" s="601" t="s">
        <v>551</v>
      </c>
      <c r="G1392" s="601">
        <v>3.4329999999999998</v>
      </c>
      <c r="H1392" s="601">
        <v>0.94</v>
      </c>
      <c r="I1392" s="601">
        <v>3.7269999999999999</v>
      </c>
      <c r="J1392" s="601">
        <v>4.1639999999999997</v>
      </c>
      <c r="K1392" s="601">
        <v>4.84</v>
      </c>
      <c r="L1392" s="601" t="s">
        <v>23</v>
      </c>
    </row>
    <row r="1393" spans="1:12" hidden="1">
      <c r="A1393" s="601" t="s">
        <v>3002</v>
      </c>
      <c r="B1393" s="601" t="str">
        <f t="shared" si="21"/>
        <v xml:space="preserve">TJX </v>
      </c>
      <c r="C1393" s="601" t="str">
        <f>MID(Table3[[#This Row],[Statement Code]],FIND("- ",Table3[[#This Row],[Statement Code]])+2,100)</f>
        <v>CASH FLOW PER SHARE - FIS YR</v>
      </c>
      <c r="D1393" s="602" t="s">
        <v>3003</v>
      </c>
      <c r="E1393" s="601" t="s">
        <v>2957</v>
      </c>
      <c r="F1393" s="601" t="s">
        <v>551</v>
      </c>
      <c r="G1393" s="601">
        <v>3.4329999999999998</v>
      </c>
      <c r="H1393" s="601">
        <v>0.94</v>
      </c>
      <c r="I1393" s="601">
        <v>3.7269999999999999</v>
      </c>
      <c r="J1393" s="601">
        <v>4.1639999999999997</v>
      </c>
      <c r="K1393" s="601">
        <v>4.84</v>
      </c>
      <c r="L1393" s="601" t="s">
        <v>23</v>
      </c>
    </row>
    <row r="1394" spans="1:12" hidden="1">
      <c r="A1394" s="601" t="s">
        <v>3004</v>
      </c>
      <c r="B1394" s="601" t="str">
        <f t="shared" si="21"/>
        <v xml:space="preserve">TJX </v>
      </c>
      <c r="C1394" s="601" t="str">
        <f>MID(Table3[[#This Row],[Statement Code]],FIND("- ",Table3[[#This Row],[Statement Code]])+2,100)</f>
        <v>COMMON DIVIDENDS (CASH)</v>
      </c>
      <c r="D1394" s="602" t="s">
        <v>3005</v>
      </c>
      <c r="E1394" s="601" t="s">
        <v>2957</v>
      </c>
      <c r="F1394" s="601" t="s">
        <v>551</v>
      </c>
      <c r="G1394" s="601">
        <v>1071562</v>
      </c>
      <c r="H1394" s="601">
        <v>278256</v>
      </c>
      <c r="I1394" s="601">
        <v>1251833</v>
      </c>
      <c r="J1394" s="601">
        <v>1339000</v>
      </c>
      <c r="K1394" s="601">
        <v>1484000</v>
      </c>
      <c r="L1394" s="601" t="s">
        <v>23</v>
      </c>
    </row>
    <row r="1395" spans="1:12" hidden="1">
      <c r="A1395" s="601" t="s">
        <v>3006</v>
      </c>
      <c r="B1395" s="601" t="str">
        <f t="shared" si="21"/>
        <v xml:space="preserve">TJX </v>
      </c>
      <c r="C1395" s="601" t="str">
        <f>MID(Table3[[#This Row],[Statement Code]],FIND("- ",Table3[[#This Row],[Statement Code]])+2,100)</f>
        <v>COMMON SHAREHOLDERS' EQUITY</v>
      </c>
      <c r="D1395" s="602" t="s">
        <v>3007</v>
      </c>
      <c r="E1395" s="601" t="s">
        <v>2957</v>
      </c>
      <c r="F1395" s="601" t="s">
        <v>551</v>
      </c>
      <c r="G1395" s="601">
        <v>5948212</v>
      </c>
      <c r="H1395" s="601">
        <v>5832684</v>
      </c>
      <c r="I1395" s="601">
        <v>6002992</v>
      </c>
      <c r="J1395" s="601">
        <v>6364000</v>
      </c>
      <c r="K1395" s="601">
        <v>7302000</v>
      </c>
      <c r="L1395" s="601" t="s">
        <v>23</v>
      </c>
    </row>
    <row r="1396" spans="1:12">
      <c r="A1396" s="601" t="s">
        <v>3008</v>
      </c>
      <c r="B1396" s="601" t="str">
        <f t="shared" si="21"/>
        <v xml:space="preserve">TJX </v>
      </c>
      <c r="C1396" s="601" t="str">
        <f>MID(Table3[[#This Row],[Statement Code]],FIND("- ",Table3[[#This Row],[Statement Code]])+2,100)</f>
        <v>COMMON STOCK</v>
      </c>
      <c r="D1396" s="602" t="s">
        <v>3009</v>
      </c>
      <c r="E1396" s="601" t="s">
        <v>2957</v>
      </c>
      <c r="F1396" s="601" t="s">
        <v>551</v>
      </c>
      <c r="G1396" s="601">
        <v>1199100</v>
      </c>
      <c r="H1396" s="601">
        <v>1204698</v>
      </c>
      <c r="I1396" s="601">
        <v>1181189</v>
      </c>
      <c r="J1396" s="601">
        <v>1155000</v>
      </c>
      <c r="K1396" s="601">
        <v>1134000</v>
      </c>
      <c r="L1396" s="601" t="s">
        <v>23</v>
      </c>
    </row>
    <row r="1397" spans="1:12" hidden="1">
      <c r="A1397" s="601" t="s">
        <v>3010</v>
      </c>
      <c r="B1397" s="601" t="str">
        <f t="shared" si="21"/>
        <v xml:space="preserve">TJX </v>
      </c>
      <c r="C1397" s="601" t="str">
        <f>MID(Table3[[#This Row],[Statement Code]],FIND("- ",Table3[[#This Row],[Statement Code]])+2,100)</f>
        <v>COST OF GOODS SOLD (EXCL DEP)</v>
      </c>
      <c r="D1397" s="602" t="s">
        <v>3011</v>
      </c>
      <c r="E1397" s="601" t="s">
        <v>2957</v>
      </c>
      <c r="F1397" s="601" t="s">
        <v>551</v>
      </c>
      <c r="G1397" s="601">
        <v>28976234</v>
      </c>
      <c r="H1397" s="601">
        <v>23663057</v>
      </c>
      <c r="I1397" s="601">
        <v>33845810</v>
      </c>
      <c r="J1397" s="601">
        <v>35262000</v>
      </c>
      <c r="K1397" s="601">
        <v>36987000</v>
      </c>
      <c r="L1397" s="601" t="s">
        <v>23</v>
      </c>
    </row>
    <row r="1398" spans="1:12">
      <c r="A1398" s="601" t="s">
        <v>3012</v>
      </c>
      <c r="B1398" s="601" t="str">
        <f t="shared" si="21"/>
        <v xml:space="preserve">TJX </v>
      </c>
      <c r="C1398" s="601" t="str">
        <f>MID(Table3[[#This Row],[Statement Code]],FIND("- ",Table3[[#This Row],[Statement Code]])+2,100)</f>
        <v>CURRENT ASSETS - TOTAL</v>
      </c>
      <c r="D1398" s="602" t="s">
        <v>3013</v>
      </c>
      <c r="E1398" s="601" t="s">
        <v>2957</v>
      </c>
      <c r="F1398" s="601" t="s">
        <v>551</v>
      </c>
      <c r="G1398" s="601">
        <v>8890622</v>
      </c>
      <c r="H1398" s="601">
        <v>15739337</v>
      </c>
      <c r="I1398" s="601">
        <v>13258597</v>
      </c>
      <c r="J1398" s="601">
        <v>12456000</v>
      </c>
      <c r="K1398" s="601">
        <v>12664000</v>
      </c>
      <c r="L1398" s="601" t="s">
        <v>23</v>
      </c>
    </row>
    <row r="1399" spans="1:12">
      <c r="A1399" s="601" t="s">
        <v>3014</v>
      </c>
      <c r="B1399" s="601" t="str">
        <f t="shared" si="21"/>
        <v xml:space="preserve">TJX </v>
      </c>
      <c r="C1399" s="601" t="str">
        <f>MID(Table3[[#This Row],[Statement Code]],FIND("- ",Table3[[#This Row],[Statement Code]])+2,100)</f>
        <v>CURRENT LIABILITIES-TOTAL</v>
      </c>
      <c r="D1399" s="602" t="s">
        <v>3015</v>
      </c>
      <c r="E1399" s="601" t="s">
        <v>2957</v>
      </c>
      <c r="F1399" s="601" t="s">
        <v>551</v>
      </c>
      <c r="G1399" s="601">
        <v>7150247</v>
      </c>
      <c r="H1399" s="601">
        <v>10803668</v>
      </c>
      <c r="I1399" s="601">
        <v>10468140</v>
      </c>
      <c r="J1399" s="601">
        <v>10305000</v>
      </c>
      <c r="K1399" s="601">
        <v>10451000</v>
      </c>
      <c r="L1399" s="601" t="s">
        <v>23</v>
      </c>
    </row>
    <row r="1400" spans="1:12" hidden="1">
      <c r="A1400" s="601" t="s">
        <v>3016</v>
      </c>
      <c r="B1400" s="601" t="str">
        <f t="shared" si="21"/>
        <v xml:space="preserve">TJX </v>
      </c>
      <c r="C1400" s="601" t="str">
        <f>MID(Table3[[#This Row],[Statement Code]],FIND("- ",Table3[[#This Row],[Statement Code]])+2,100)</f>
        <v>DEFERRED TAXES</v>
      </c>
      <c r="D1400" s="602" t="s">
        <v>3017</v>
      </c>
      <c r="E1400" s="601" t="s">
        <v>2957</v>
      </c>
      <c r="F1400" s="601" t="s">
        <v>551</v>
      </c>
      <c r="G1400" s="601">
        <v>130038</v>
      </c>
      <c r="H1400" s="601">
        <v>-90027</v>
      </c>
      <c r="I1400" s="601">
        <v>-140796</v>
      </c>
      <c r="J1400" s="601">
        <v>-31000</v>
      </c>
      <c r="K1400" s="601">
        <v>-24000</v>
      </c>
      <c r="L1400" s="601" t="s">
        <v>23</v>
      </c>
    </row>
    <row r="1401" spans="1:12" hidden="1">
      <c r="A1401" s="601" t="s">
        <v>3018</v>
      </c>
      <c r="B1401" s="601" t="str">
        <f t="shared" si="21"/>
        <v xml:space="preserve">TJX </v>
      </c>
      <c r="C1401" s="601" t="str">
        <f>MID(Table3[[#This Row],[Statement Code]],FIND("- ",Table3[[#This Row],[Statement Code]])+2,100)</f>
        <v>DEPRECIATION AND DEPLETION</v>
      </c>
      <c r="D1401" s="602" t="s">
        <v>3019</v>
      </c>
      <c r="E1401" s="601" t="s">
        <v>2957</v>
      </c>
      <c r="F1401" s="601" t="s">
        <v>551</v>
      </c>
      <c r="G1401" s="601">
        <v>867303</v>
      </c>
      <c r="H1401" s="601">
        <v>870758</v>
      </c>
      <c r="I1401" s="601">
        <v>868002</v>
      </c>
      <c r="J1401" s="601">
        <v>887000</v>
      </c>
      <c r="K1401" s="601">
        <v>964000</v>
      </c>
      <c r="L1401" s="601" t="s">
        <v>23</v>
      </c>
    </row>
    <row r="1402" spans="1:12">
      <c r="A1402" s="601" t="s">
        <v>3020</v>
      </c>
      <c r="B1402" s="601" t="str">
        <f t="shared" si="21"/>
        <v xml:space="preserve">TJX </v>
      </c>
      <c r="C1402" s="601" t="str">
        <f>MID(Table3[[#This Row],[Statement Code]],FIND("- ",Table3[[#This Row],[Statement Code]])+2,100)</f>
        <v>DEPRECIATION/DEPLETION/AMORT</v>
      </c>
      <c r="D1402" s="602" t="s">
        <v>3021</v>
      </c>
      <c r="E1402" s="601" t="s">
        <v>2957</v>
      </c>
      <c r="F1402" s="601" t="s">
        <v>551</v>
      </c>
      <c r="G1402" s="601">
        <v>867303</v>
      </c>
      <c r="H1402" s="601">
        <v>870758</v>
      </c>
      <c r="I1402" s="601">
        <v>868002</v>
      </c>
      <c r="J1402" s="601">
        <v>887000</v>
      </c>
      <c r="K1402" s="601">
        <v>964000</v>
      </c>
      <c r="L1402" s="601" t="s">
        <v>23</v>
      </c>
    </row>
    <row r="1403" spans="1:12" hidden="1">
      <c r="A1403" s="601" t="s">
        <v>3022</v>
      </c>
      <c r="B1403" s="601" t="str">
        <f t="shared" si="21"/>
        <v xml:space="preserve">TJX </v>
      </c>
      <c r="C1403" s="601" t="str">
        <f>MID(Table3[[#This Row],[Statement Code]],FIND("- ",Table3[[#This Row],[Statement Code]])+2,100)</f>
        <v>DIVIDENDS PER SHARE</v>
      </c>
      <c r="D1403" s="602" t="s">
        <v>3023</v>
      </c>
      <c r="E1403" s="601" t="s">
        <v>2957</v>
      </c>
      <c r="F1403" s="601" t="s">
        <v>551</v>
      </c>
      <c r="G1403" s="601">
        <v>0.92</v>
      </c>
      <c r="H1403" s="601">
        <v>0.26</v>
      </c>
      <c r="I1403" s="601">
        <v>1.04</v>
      </c>
      <c r="J1403" s="601">
        <v>1.18</v>
      </c>
      <c r="K1403" s="601">
        <v>1.33</v>
      </c>
      <c r="L1403" s="601" t="s">
        <v>23</v>
      </c>
    </row>
    <row r="1404" spans="1:12" hidden="1">
      <c r="A1404" s="601" t="s">
        <v>3024</v>
      </c>
      <c r="B1404" s="601" t="str">
        <f t="shared" si="21"/>
        <v xml:space="preserve">TJX </v>
      </c>
      <c r="C1404" s="601" t="str">
        <f>MID(Table3[[#This Row],[Statement Code]],FIND("- ",Table3[[#This Row],[Statement Code]])+2,100)</f>
        <v>DIVIDENDS PER SHARE - FISCAL</v>
      </c>
      <c r="D1404" s="602" t="s">
        <v>3025</v>
      </c>
      <c r="E1404" s="601" t="s">
        <v>2957</v>
      </c>
      <c r="F1404" s="601" t="s">
        <v>551</v>
      </c>
      <c r="G1404" s="601">
        <v>0.92</v>
      </c>
      <c r="H1404" s="601">
        <v>0.26</v>
      </c>
      <c r="I1404" s="601">
        <v>1.04</v>
      </c>
      <c r="J1404" s="601">
        <v>1.18</v>
      </c>
      <c r="K1404" s="601">
        <v>1.33</v>
      </c>
      <c r="L1404" s="601" t="s">
        <v>23</v>
      </c>
    </row>
    <row r="1405" spans="1:12">
      <c r="A1405" s="601" t="s">
        <v>3026</v>
      </c>
      <c r="B1405" s="601" t="str">
        <f t="shared" si="21"/>
        <v xml:space="preserve">TJX </v>
      </c>
      <c r="C1405" s="601" t="str">
        <f>MID(Table3[[#This Row],[Statement Code]],FIND("- ",Table3[[#This Row],[Statement Code]])+2,100)</f>
        <v>EARNINGS BEF INTEREST &amp; TAXES</v>
      </c>
      <c r="D1405" s="602" t="s">
        <v>3027</v>
      </c>
      <c r="E1405" s="601" t="s">
        <v>2957</v>
      </c>
      <c r="F1405" s="601" t="s">
        <v>551</v>
      </c>
      <c r="G1405" s="601">
        <v>4465309</v>
      </c>
      <c r="H1405" s="601">
        <v>283263</v>
      </c>
      <c r="I1405" s="601">
        <v>4516684</v>
      </c>
      <c r="J1405" s="601">
        <v>4720000</v>
      </c>
      <c r="K1405" s="601">
        <v>6046000</v>
      </c>
      <c r="L1405" s="601" t="s">
        <v>23</v>
      </c>
    </row>
    <row r="1406" spans="1:12" hidden="1">
      <c r="A1406" s="601" t="s">
        <v>3028</v>
      </c>
      <c r="B1406" s="601" t="str">
        <f t="shared" si="21"/>
        <v xml:space="preserve">TJX </v>
      </c>
      <c r="C1406" s="601" t="str">
        <f>MID(Table3[[#This Row],[Statement Code]],FIND("- ",Table3[[#This Row],[Statement Code]])+2,100)</f>
        <v>EBIT &amp; DEPRECIATION</v>
      </c>
      <c r="D1406" s="602" t="s">
        <v>3029</v>
      </c>
      <c r="E1406" s="601" t="s">
        <v>2957</v>
      </c>
      <c r="F1406" s="601" t="s">
        <v>551</v>
      </c>
      <c r="G1406" s="601">
        <v>5332612</v>
      </c>
      <c r="H1406" s="601">
        <v>1154021</v>
      </c>
      <c r="I1406" s="601">
        <v>5384686</v>
      </c>
      <c r="J1406" s="601">
        <v>5607000</v>
      </c>
      <c r="K1406" s="601">
        <v>7010000</v>
      </c>
      <c r="L1406" s="601" t="s">
        <v>23</v>
      </c>
    </row>
    <row r="1407" spans="1:12" hidden="1">
      <c r="A1407" s="601" t="s">
        <v>3030</v>
      </c>
      <c r="B1407" s="601" t="str">
        <f t="shared" si="21"/>
        <v xml:space="preserve">TJX </v>
      </c>
      <c r="C1407" s="601" t="str">
        <f>MID(Table3[[#This Row],[Statement Code]],FIND("- ",Table3[[#This Row],[Statement Code]])+2,100)</f>
        <v>EARNINGS PER SHARE</v>
      </c>
      <c r="D1407" s="602" t="s">
        <v>3031</v>
      </c>
      <c r="E1407" s="601" t="s">
        <v>2957</v>
      </c>
      <c r="F1407" s="601" t="s">
        <v>551</v>
      </c>
      <c r="G1407" s="601">
        <v>2.6680000000000001</v>
      </c>
      <c r="H1407" s="601">
        <v>7.3999999999999996E-2</v>
      </c>
      <c r="I1407" s="601">
        <v>2.7010000000000001</v>
      </c>
      <c r="J1407" s="601">
        <v>2.9689999999999999</v>
      </c>
      <c r="K1407" s="601">
        <v>3.86</v>
      </c>
      <c r="L1407" s="601" t="s">
        <v>23</v>
      </c>
    </row>
    <row r="1408" spans="1:12" hidden="1">
      <c r="A1408" s="601" t="s">
        <v>3032</v>
      </c>
      <c r="B1408" s="601" t="str">
        <f t="shared" si="21"/>
        <v xml:space="preserve">TJX </v>
      </c>
      <c r="C1408" s="601" t="str">
        <f>MID(Table3[[#This Row],[Statement Code]],FIND("- ",Table3[[#This Row],[Statement Code]])+2,100)</f>
        <v>FISCAL EPS-FULLY DILUTED-YR</v>
      </c>
      <c r="D1408" s="602" t="s">
        <v>3033</v>
      </c>
      <c r="E1408" s="601" t="s">
        <v>2957</v>
      </c>
      <c r="F1408" s="601" t="s">
        <v>551</v>
      </c>
      <c r="G1408" s="601">
        <v>2.6680000000000001</v>
      </c>
      <c r="H1408" s="601">
        <v>7.3999999999999996E-2</v>
      </c>
      <c r="I1408" s="601">
        <v>2.7010000000000001</v>
      </c>
      <c r="J1408" s="601">
        <v>2.9689999999999999</v>
      </c>
      <c r="K1408" s="601">
        <v>3.86</v>
      </c>
      <c r="L1408" s="601" t="s">
        <v>23</v>
      </c>
    </row>
    <row r="1409" spans="1:12" hidden="1">
      <c r="A1409" s="601" t="s">
        <v>3034</v>
      </c>
      <c r="B1409" s="601" t="str">
        <f t="shared" si="21"/>
        <v xml:space="preserve">TJX </v>
      </c>
      <c r="C1409" s="601" t="str">
        <f>MID(Table3[[#This Row],[Statement Code]],FIND("- ",Table3[[#This Row],[Statement Code]])+2,100)</f>
        <v>ENTERPRISE VALUE</v>
      </c>
      <c r="D1409" s="602" t="s">
        <v>3035</v>
      </c>
      <c r="E1409" s="601" t="s">
        <v>2957</v>
      </c>
      <c r="F1409" s="601" t="s">
        <v>551</v>
      </c>
      <c r="G1409" s="601">
        <v>69807458</v>
      </c>
      <c r="H1409" s="601">
        <v>72761868</v>
      </c>
      <c r="I1409" s="601">
        <v>81441252</v>
      </c>
      <c r="J1409" s="601">
        <v>92500810</v>
      </c>
      <c r="K1409" s="601">
        <v>107798024</v>
      </c>
      <c r="L1409" s="601" t="s">
        <v>23</v>
      </c>
    </row>
    <row r="1410" spans="1:12">
      <c r="A1410" s="601" t="s">
        <v>3036</v>
      </c>
      <c r="B1410" s="601" t="str">
        <f t="shared" si="21"/>
        <v xml:space="preserve">TJX </v>
      </c>
      <c r="C1410" s="601" t="str">
        <f>MID(Table3[[#This Row],[Statement Code]],FIND("- ",Table3[[#This Row],[Statement Code]])+2,100)</f>
        <v>GROSS INCOME</v>
      </c>
      <c r="D1410" s="602" t="s">
        <v>3037</v>
      </c>
      <c r="E1410" s="601" t="s">
        <v>2957</v>
      </c>
      <c r="F1410" s="601" t="s">
        <v>551</v>
      </c>
      <c r="G1410" s="601">
        <v>11873440</v>
      </c>
      <c r="H1410" s="601">
        <v>7603147</v>
      </c>
      <c r="I1410" s="601">
        <v>13836170</v>
      </c>
      <c r="J1410" s="601">
        <v>13787000</v>
      </c>
      <c r="K1410" s="601">
        <v>16266000</v>
      </c>
      <c r="L1410" s="601" t="s">
        <v>23</v>
      </c>
    </row>
    <row r="1411" spans="1:12" hidden="1">
      <c r="A1411" s="601" t="s">
        <v>3038</v>
      </c>
      <c r="B1411" s="601" t="str">
        <f t="shared" ref="B1411:B1474" si="22">LEFT(A1411,FIND(" ",A1411))</f>
        <v xml:space="preserve">TJX </v>
      </c>
      <c r="C1411" s="601" t="str">
        <f>MID(Table3[[#This Row],[Statement Code]],FIND("- ",Table3[[#This Row],[Statement Code]])+2,100)</f>
        <v>IMPAIRMENT OF GOODWILL</v>
      </c>
      <c r="D1411" s="602" t="s">
        <v>3039</v>
      </c>
      <c r="E1411" s="601" t="s">
        <v>2957</v>
      </c>
      <c r="F1411" s="601" t="s">
        <v>551</v>
      </c>
      <c r="G1411" s="601">
        <v>0</v>
      </c>
      <c r="H1411" s="601" t="s">
        <v>23</v>
      </c>
      <c r="I1411" s="601" t="s">
        <v>23</v>
      </c>
      <c r="J1411" s="601" t="s">
        <v>23</v>
      </c>
      <c r="K1411" s="601" t="s">
        <v>23</v>
      </c>
      <c r="L1411" s="601" t="s">
        <v>23</v>
      </c>
    </row>
    <row r="1412" spans="1:12">
      <c r="A1412" s="601" t="s">
        <v>3040</v>
      </c>
      <c r="B1412" s="601" t="str">
        <f t="shared" si="22"/>
        <v xml:space="preserve">TJX </v>
      </c>
      <c r="C1412" s="601" t="str">
        <f>MID(Table3[[#This Row],[Statement Code]],FIND("- ",Table3[[#This Row],[Statement Code]])+2,100)</f>
        <v>INCOME TAXES</v>
      </c>
      <c r="D1412" s="602" t="s">
        <v>3041</v>
      </c>
      <c r="E1412" s="601" t="s">
        <v>2957</v>
      </c>
      <c r="F1412" s="601" t="s">
        <v>551</v>
      </c>
      <c r="G1412" s="601">
        <v>1133990</v>
      </c>
      <c r="H1412" s="601">
        <v>-1207</v>
      </c>
      <c r="I1412" s="601">
        <v>1114793</v>
      </c>
      <c r="J1412" s="601">
        <v>1138000</v>
      </c>
      <c r="K1412" s="601">
        <v>1493000</v>
      </c>
      <c r="L1412" s="601" t="s">
        <v>23</v>
      </c>
    </row>
    <row r="1413" spans="1:12" hidden="1">
      <c r="A1413" s="601" t="s">
        <v>3042</v>
      </c>
      <c r="B1413" s="601" t="str">
        <f t="shared" si="22"/>
        <v xml:space="preserve">TJX </v>
      </c>
      <c r="C1413" s="601" t="str">
        <f>MID(Table3[[#This Row],[Statement Code]],FIND("- ",Table3[[#This Row],[Statement Code]])+2,100)</f>
        <v>INCREASE/DECREASE IN CASH/SHOR</v>
      </c>
      <c r="D1413" s="602" t="s">
        <v>3043</v>
      </c>
      <c r="E1413" s="601" t="s">
        <v>2957</v>
      </c>
      <c r="F1413" s="601" t="s">
        <v>551</v>
      </c>
      <c r="G1413" s="601">
        <v>186523</v>
      </c>
      <c r="H1413" s="601">
        <v>7252818</v>
      </c>
      <c r="I1413" s="601">
        <v>-4242805</v>
      </c>
      <c r="J1413" s="601">
        <v>-750000</v>
      </c>
      <c r="K1413" s="601">
        <v>123000</v>
      </c>
      <c r="L1413" s="601" t="s">
        <v>23</v>
      </c>
    </row>
    <row r="1414" spans="1:12">
      <c r="A1414" s="601" t="s">
        <v>3044</v>
      </c>
      <c r="B1414" s="601" t="str">
        <f t="shared" si="22"/>
        <v xml:space="preserve">TJX </v>
      </c>
      <c r="C1414" s="601" t="str">
        <f>MID(Table3[[#This Row],[Statement Code]],FIND("- ",Table3[[#This Row],[Statement Code]])+2,100)</f>
        <v>INTEREST EXPENSE ON DEBT</v>
      </c>
      <c r="D1414" s="602" t="s">
        <v>3045</v>
      </c>
      <c r="E1414" s="601" t="s">
        <v>2957</v>
      </c>
      <c r="F1414" s="601" t="s">
        <v>551</v>
      </c>
      <c r="G1414" s="601">
        <v>61426</v>
      </c>
      <c r="H1414" s="601">
        <v>199000</v>
      </c>
      <c r="I1414" s="601">
        <v>123076</v>
      </c>
      <c r="J1414" s="601">
        <v>91000</v>
      </c>
      <c r="K1414" s="601">
        <v>82000</v>
      </c>
      <c r="L1414" s="601" t="s">
        <v>23</v>
      </c>
    </row>
    <row r="1415" spans="1:12" hidden="1">
      <c r="A1415" s="601" t="s">
        <v>3046</v>
      </c>
      <c r="B1415" s="601" t="str">
        <f t="shared" si="22"/>
        <v xml:space="preserve">TJX </v>
      </c>
      <c r="C1415" s="601" t="str">
        <f>MID(Table3[[#This Row],[Statement Code]],FIND("- ",Table3[[#This Row],[Statement Code]])+2,100)</f>
        <v>TOTAL INVENTORIES</v>
      </c>
      <c r="D1415" s="602" t="s">
        <v>3047</v>
      </c>
      <c r="E1415" s="601" t="s">
        <v>2957</v>
      </c>
      <c r="F1415" s="601" t="s">
        <v>551</v>
      </c>
      <c r="G1415" s="601">
        <v>4872592</v>
      </c>
      <c r="H1415" s="601">
        <v>4337389</v>
      </c>
      <c r="I1415" s="601">
        <v>5961573</v>
      </c>
      <c r="J1415" s="601">
        <v>5819000</v>
      </c>
      <c r="K1415" s="601">
        <v>5965000</v>
      </c>
      <c r="L1415" s="601" t="s">
        <v>23</v>
      </c>
    </row>
    <row r="1416" spans="1:12">
      <c r="A1416" s="601" t="s">
        <v>3048</v>
      </c>
      <c r="B1416" s="601" t="str">
        <f t="shared" si="22"/>
        <v xml:space="preserve">TJX </v>
      </c>
      <c r="C1416" s="601" t="str">
        <f>MID(Table3[[#This Row],[Statement Code]],FIND("- ",Table3[[#This Row],[Statement Code]])+2,100)</f>
        <v>LONG TERM DEBT</v>
      </c>
      <c r="D1416" s="602" t="s">
        <v>3049</v>
      </c>
      <c r="E1416" s="601" t="s">
        <v>2957</v>
      </c>
      <c r="F1416" s="601" t="s">
        <v>551</v>
      </c>
      <c r="G1416" s="601">
        <v>2236625</v>
      </c>
      <c r="H1416" s="601">
        <v>5332900</v>
      </c>
      <c r="I1416" s="601">
        <v>3354841</v>
      </c>
      <c r="J1416" s="601">
        <v>2859000</v>
      </c>
      <c r="K1416" s="601">
        <v>2862000</v>
      </c>
      <c r="L1416" s="601" t="s">
        <v>23</v>
      </c>
    </row>
    <row r="1417" spans="1:12" hidden="1">
      <c r="A1417" s="601" t="s">
        <v>3050</v>
      </c>
      <c r="B1417" s="601" t="str">
        <f t="shared" si="22"/>
        <v xml:space="preserve">TJX </v>
      </c>
      <c r="C1417" s="601" t="str">
        <f>MID(Table3[[#This Row],[Statement Code]],FIND("- ",Table3[[#This Row],[Statement Code]])+2,100)</f>
        <v>MARKET CAPITALIZATION</v>
      </c>
      <c r="D1417" s="602" t="s">
        <v>3051</v>
      </c>
      <c r="E1417" s="601" t="s">
        <v>2957</v>
      </c>
      <c r="F1417" s="601" t="s">
        <v>551</v>
      </c>
      <c r="G1417" s="601">
        <v>73217032</v>
      </c>
      <c r="H1417" s="601">
        <v>82268835</v>
      </c>
      <c r="I1417" s="601">
        <v>89675848</v>
      </c>
      <c r="J1417" s="601">
        <v>91972857</v>
      </c>
      <c r="K1417" s="601">
        <v>106341754</v>
      </c>
      <c r="L1417" s="601" t="s">
        <v>23</v>
      </c>
    </row>
    <row r="1418" spans="1:12" hidden="1">
      <c r="A1418" s="601" t="s">
        <v>3052</v>
      </c>
      <c r="B1418" s="601" t="str">
        <f t="shared" si="22"/>
        <v xml:space="preserve">TJX </v>
      </c>
      <c r="C1418" s="601" t="str">
        <f>MID(Table3[[#This Row],[Statement Code]],FIND("- ",Table3[[#This Row],[Statement Code]])+2,100)</f>
        <v>NET CASH FLOW - FINANCING</v>
      </c>
      <c r="D1418" s="602" t="s">
        <v>3053</v>
      </c>
      <c r="E1418" s="601" t="s">
        <v>2957</v>
      </c>
      <c r="F1418" s="601" t="s">
        <v>551</v>
      </c>
      <c r="G1418" s="601">
        <v>-2414871</v>
      </c>
      <c r="H1418" s="601">
        <v>3228262</v>
      </c>
      <c r="I1418" s="601">
        <v>-6199758</v>
      </c>
      <c r="J1418" s="601">
        <v>-3306000</v>
      </c>
      <c r="K1418" s="601">
        <v>-4215000</v>
      </c>
      <c r="L1418" s="601" t="s">
        <v>23</v>
      </c>
    </row>
    <row r="1419" spans="1:12" hidden="1">
      <c r="A1419" s="601" t="s">
        <v>3054</v>
      </c>
      <c r="B1419" s="601" t="str">
        <f t="shared" si="22"/>
        <v xml:space="preserve">TJX </v>
      </c>
      <c r="C1419" s="601" t="str">
        <f>MID(Table3[[#This Row],[Statement Code]],FIND("- ",Table3[[#This Row],[Statement Code]])+2,100)</f>
        <v>NET CASH FLOW - INVESTING</v>
      </c>
      <c r="D1419" s="602" t="s">
        <v>3055</v>
      </c>
      <c r="E1419" s="601" t="s">
        <v>2957</v>
      </c>
      <c r="F1419" s="601" t="s">
        <v>551</v>
      </c>
      <c r="G1419" s="601">
        <v>1461971</v>
      </c>
      <c r="H1419" s="601">
        <v>578597</v>
      </c>
      <c r="I1419" s="601">
        <v>1046386</v>
      </c>
      <c r="J1419" s="601">
        <v>1470000</v>
      </c>
      <c r="K1419" s="601">
        <v>1717000</v>
      </c>
      <c r="L1419" s="601" t="s">
        <v>23</v>
      </c>
    </row>
    <row r="1420" spans="1:12" hidden="1">
      <c r="A1420" s="601" t="s">
        <v>3056</v>
      </c>
      <c r="B1420" s="601" t="str">
        <f t="shared" si="22"/>
        <v xml:space="preserve">TJX </v>
      </c>
      <c r="C1420" s="601" t="str">
        <f>MID(Table3[[#This Row],[Statement Code]],FIND("- ",Table3[[#This Row],[Statement Code]])+2,100)</f>
        <v>NET CASH FLOW-OPERATING ACTIVS</v>
      </c>
      <c r="D1420" s="602" t="s">
        <v>3057</v>
      </c>
      <c r="E1420" s="601" t="s">
        <v>2957</v>
      </c>
      <c r="F1420" s="601" t="s">
        <v>551</v>
      </c>
      <c r="G1420" s="601">
        <v>4066540</v>
      </c>
      <c r="H1420" s="601">
        <v>4561889</v>
      </c>
      <c r="I1420" s="601">
        <v>3057485</v>
      </c>
      <c r="J1420" s="601">
        <v>4084000</v>
      </c>
      <c r="K1420" s="601">
        <v>6057000</v>
      </c>
      <c r="L1420" s="601" t="s">
        <v>23</v>
      </c>
    </row>
    <row r="1421" spans="1:12" hidden="1">
      <c r="A1421" s="601" t="s">
        <v>3058</v>
      </c>
      <c r="B1421" s="601" t="str">
        <f t="shared" si="22"/>
        <v xml:space="preserve">TJX </v>
      </c>
      <c r="C1421" s="601" t="str">
        <f>MID(Table3[[#This Row],[Statement Code]],FIND("- ",Table3[[#This Row],[Statement Code]])+2,100)</f>
        <v>NET DEBT</v>
      </c>
      <c r="D1421" s="602" t="s">
        <v>3059</v>
      </c>
      <c r="E1421" s="601" t="s">
        <v>2957</v>
      </c>
      <c r="F1421" s="601" t="s">
        <v>551</v>
      </c>
      <c r="G1421" s="601">
        <v>-987392</v>
      </c>
      <c r="H1421" s="601">
        <v>-4387000</v>
      </c>
      <c r="I1421" s="601">
        <v>-2872000</v>
      </c>
      <c r="J1421" s="601">
        <v>-2118000</v>
      </c>
      <c r="K1421" s="601">
        <v>-2738000</v>
      </c>
      <c r="L1421" s="601" t="s">
        <v>23</v>
      </c>
    </row>
    <row r="1422" spans="1:12">
      <c r="A1422" s="601" t="s">
        <v>3060</v>
      </c>
      <c r="B1422" s="601" t="str">
        <f t="shared" si="22"/>
        <v xml:space="preserve">TJX </v>
      </c>
      <c r="C1422" s="601" t="str">
        <f>MID(Table3[[#This Row],[Statement Code]],FIND("- ",Table3[[#This Row],[Statement Code]])+2,100)</f>
        <v>NET INCOME - DILUTED</v>
      </c>
      <c r="D1422" s="602" t="s">
        <v>3061</v>
      </c>
      <c r="E1422" s="601" t="s">
        <v>2957</v>
      </c>
      <c r="F1422" s="601" t="s">
        <v>551</v>
      </c>
      <c r="G1422" s="601">
        <v>3272193</v>
      </c>
      <c r="H1422" s="601">
        <v>90470</v>
      </c>
      <c r="I1422" s="601">
        <v>3282815</v>
      </c>
      <c r="J1422" s="601">
        <v>3498000</v>
      </c>
      <c r="K1422" s="601">
        <v>4474000</v>
      </c>
      <c r="L1422" s="601" t="s">
        <v>23</v>
      </c>
    </row>
    <row r="1423" spans="1:12">
      <c r="A1423" s="601" t="s">
        <v>3062</v>
      </c>
      <c r="B1423" s="601" t="str">
        <f t="shared" si="22"/>
        <v xml:space="preserve">TJX </v>
      </c>
      <c r="C1423" s="601" t="str">
        <f>MID(Table3[[#This Row],[Statement Code]],FIND("- ",Table3[[#This Row],[Statement Code]])+2,100)</f>
        <v>NET SALES OR REVENUES</v>
      </c>
      <c r="D1423" s="602" t="s">
        <v>3063</v>
      </c>
      <c r="E1423" s="601" t="s">
        <v>2957</v>
      </c>
      <c r="F1423" s="601" t="s">
        <v>551</v>
      </c>
      <c r="G1423" s="601">
        <v>41716977</v>
      </c>
      <c r="H1423" s="601">
        <v>32136962</v>
      </c>
      <c r="I1423" s="601">
        <v>48549982</v>
      </c>
      <c r="J1423" s="601">
        <v>49936000</v>
      </c>
      <c r="K1423" s="601">
        <v>54217000</v>
      </c>
      <c r="L1423" s="601" t="s">
        <v>23</v>
      </c>
    </row>
    <row r="1424" spans="1:12" hidden="1">
      <c r="A1424" s="601" t="s">
        <v>3064</v>
      </c>
      <c r="B1424" s="601" t="str">
        <f t="shared" si="22"/>
        <v xml:space="preserve">TJX </v>
      </c>
      <c r="C1424" s="601" t="str">
        <f>MID(Table3[[#This Row],[Statement Code]],FIND("- ",Table3[[#This Row],[Statement Code]])+2,100)</f>
        <v>NON-OPERATING INTEREST INCOME</v>
      </c>
      <c r="D1424" s="602" t="s">
        <v>3065</v>
      </c>
      <c r="E1424" s="601" t="s">
        <v>2957</v>
      </c>
      <c r="F1424" s="601" t="s">
        <v>551</v>
      </c>
      <c r="G1424" s="601">
        <v>49100</v>
      </c>
      <c r="H1424" s="601">
        <v>13266</v>
      </c>
      <c r="I1424" s="601">
        <v>4000</v>
      </c>
      <c r="J1424" s="601">
        <v>78000</v>
      </c>
      <c r="K1424" s="601">
        <v>249000</v>
      </c>
      <c r="L1424" s="601" t="s">
        <v>23</v>
      </c>
    </row>
    <row r="1425" spans="1:12" hidden="1">
      <c r="A1425" s="601" t="s">
        <v>3066</v>
      </c>
      <c r="B1425" s="601" t="str">
        <f t="shared" si="22"/>
        <v xml:space="preserve">TJX </v>
      </c>
      <c r="C1425" s="601" t="str">
        <f>MID(Table3[[#This Row],[Statement Code]],FIND("- ",Table3[[#This Row],[Statement Code]])+2,100)</f>
        <v>OPERATING EXPENSES - TOTAL</v>
      </c>
      <c r="D1425" s="602" t="s">
        <v>3067</v>
      </c>
      <c r="E1425" s="601" t="s">
        <v>2957</v>
      </c>
      <c r="F1425" s="601" t="s">
        <v>551</v>
      </c>
      <c r="G1425" s="601">
        <v>37290480</v>
      </c>
      <c r="H1425" s="601">
        <v>31554732</v>
      </c>
      <c r="I1425" s="601">
        <v>43795050</v>
      </c>
      <c r="J1425" s="601">
        <v>45076000</v>
      </c>
      <c r="K1425" s="601">
        <v>48420000</v>
      </c>
      <c r="L1425" s="601" t="s">
        <v>23</v>
      </c>
    </row>
    <row r="1426" spans="1:12">
      <c r="A1426" s="601" t="s">
        <v>3068</v>
      </c>
      <c r="B1426" s="601" t="str">
        <f t="shared" si="22"/>
        <v xml:space="preserve">TJX </v>
      </c>
      <c r="C1426" s="601" t="str">
        <f>MID(Table3[[#This Row],[Statement Code]],FIND("- ",Table3[[#This Row],[Statement Code]])+2,100)</f>
        <v>OPERATING INCOME</v>
      </c>
      <c r="D1426" s="602" t="s">
        <v>3069</v>
      </c>
      <c r="E1426" s="601" t="s">
        <v>2957</v>
      </c>
      <c r="F1426" s="601" t="s">
        <v>551</v>
      </c>
      <c r="G1426" s="601">
        <v>4426497</v>
      </c>
      <c r="H1426" s="601">
        <v>582230</v>
      </c>
      <c r="I1426" s="601">
        <v>4754932</v>
      </c>
      <c r="J1426" s="601">
        <v>4860000</v>
      </c>
      <c r="K1426" s="601">
        <v>5797000</v>
      </c>
      <c r="L1426" s="601" t="s">
        <v>23</v>
      </c>
    </row>
    <row r="1427" spans="1:12" hidden="1">
      <c r="A1427" s="601" t="s">
        <v>3070</v>
      </c>
      <c r="B1427" s="601" t="str">
        <f t="shared" si="22"/>
        <v xml:space="preserve">TJX </v>
      </c>
      <c r="C1427" s="601" t="str">
        <f>MID(Table3[[#This Row],[Statement Code]],FIND("- ",Table3[[#This Row],[Statement Code]])+2,100)</f>
        <v>PRETAX INCOME</v>
      </c>
      <c r="D1427" s="602" t="s">
        <v>3071</v>
      </c>
      <c r="E1427" s="601" t="s">
        <v>2957</v>
      </c>
      <c r="F1427" s="601" t="s">
        <v>551</v>
      </c>
      <c r="G1427" s="601">
        <v>4406183</v>
      </c>
      <c r="H1427" s="601">
        <v>89263</v>
      </c>
      <c r="I1427" s="601">
        <v>4397608</v>
      </c>
      <c r="J1427" s="601">
        <v>4636000</v>
      </c>
      <c r="K1427" s="601">
        <v>5967000</v>
      </c>
      <c r="L1427" s="601" t="s">
        <v>23</v>
      </c>
    </row>
    <row r="1428" spans="1:12" hidden="1">
      <c r="A1428" s="601" t="s">
        <v>3072</v>
      </c>
      <c r="B1428" s="601" t="str">
        <f t="shared" si="22"/>
        <v xml:space="preserve">TJX </v>
      </c>
      <c r="C1428" s="601" t="str">
        <f>MID(Table3[[#This Row],[Statement Code]],FIND("- ",Table3[[#This Row],[Statement Code]])+2,100)</f>
        <v>PROPERTY, PLANT &amp; EQUIP - NET</v>
      </c>
      <c r="D1428" s="602" t="s">
        <v>3073</v>
      </c>
      <c r="E1428" s="601" t="s">
        <v>2957</v>
      </c>
      <c r="F1428" s="601" t="s">
        <v>551</v>
      </c>
      <c r="G1428" s="601">
        <v>14385380</v>
      </c>
      <c r="H1428" s="601">
        <v>14026094</v>
      </c>
      <c r="I1428" s="601">
        <v>14124761</v>
      </c>
      <c r="J1428" s="601">
        <v>14869000</v>
      </c>
      <c r="K1428" s="601">
        <v>15967000</v>
      </c>
      <c r="L1428" s="601" t="s">
        <v>23</v>
      </c>
    </row>
    <row r="1429" spans="1:12" hidden="1">
      <c r="A1429" s="601" t="s">
        <v>3074</v>
      </c>
      <c r="B1429" s="601" t="str">
        <f t="shared" si="22"/>
        <v xml:space="preserve">TJX </v>
      </c>
      <c r="C1429" s="601" t="str">
        <f>MID(Table3[[#This Row],[Statement Code]],FIND("- ",Table3[[#This Row],[Statement Code]])+2,100)</f>
        <v>RECEIVABLES(NET)</v>
      </c>
      <c r="D1429" s="602" t="s">
        <v>3075</v>
      </c>
      <c r="E1429" s="601" t="s">
        <v>2957</v>
      </c>
      <c r="F1429" s="601" t="s">
        <v>551</v>
      </c>
      <c r="G1429" s="601">
        <v>386261</v>
      </c>
      <c r="H1429" s="601">
        <v>497401</v>
      </c>
      <c r="I1429" s="601">
        <v>632160</v>
      </c>
      <c r="J1429" s="601">
        <v>682000</v>
      </c>
      <c r="K1429" s="601">
        <v>588000</v>
      </c>
      <c r="L1429" s="601" t="s">
        <v>23</v>
      </c>
    </row>
    <row r="1430" spans="1:12">
      <c r="A1430" s="601" t="s">
        <v>3076</v>
      </c>
      <c r="B1430" s="601" t="str">
        <f t="shared" si="22"/>
        <v xml:space="preserve">TJX </v>
      </c>
      <c r="C1430" s="601" t="str">
        <f>MID(Table3[[#This Row],[Statement Code]],FIND("- ",Table3[[#This Row],[Statement Code]])+2,100)</f>
        <v>SELLING, GENERAL &amp; ADMINISTRAT</v>
      </c>
      <c r="D1430" s="602" t="s">
        <v>3077</v>
      </c>
      <c r="E1430" s="601" t="s">
        <v>2957</v>
      </c>
      <c r="F1430" s="601" t="s">
        <v>551</v>
      </c>
      <c r="G1430" s="601">
        <v>7446943</v>
      </c>
      <c r="H1430" s="601">
        <v>7020917</v>
      </c>
      <c r="I1430" s="601">
        <v>9081238</v>
      </c>
      <c r="J1430" s="601">
        <v>8927000</v>
      </c>
      <c r="K1430" s="601">
        <v>10469000</v>
      </c>
      <c r="L1430" s="601" t="s">
        <v>23</v>
      </c>
    </row>
    <row r="1431" spans="1:12" hidden="1">
      <c r="A1431" s="601" t="s">
        <v>3078</v>
      </c>
      <c r="B1431" s="601" t="str">
        <f t="shared" si="22"/>
        <v xml:space="preserve">TJX </v>
      </c>
      <c r="C1431" s="601" t="str">
        <f>MID(Table3[[#This Row],[Statement Code]],FIND("- ",Table3[[#This Row],[Statement Code]])+2,100)</f>
        <v>SHORT TERM DEBT &amp; CURRENT PORT</v>
      </c>
      <c r="D1431" s="602" t="s">
        <v>3079</v>
      </c>
      <c r="E1431" s="601" t="s">
        <v>2957</v>
      </c>
      <c r="F1431" s="601" t="s">
        <v>551</v>
      </c>
      <c r="G1431" s="601">
        <v>0</v>
      </c>
      <c r="H1431" s="601">
        <v>749684</v>
      </c>
      <c r="I1431" s="601">
        <v>0</v>
      </c>
      <c r="J1431" s="601">
        <v>500000</v>
      </c>
      <c r="K1431" s="601">
        <v>0</v>
      </c>
      <c r="L1431" s="601" t="s">
        <v>23</v>
      </c>
    </row>
    <row r="1432" spans="1:12">
      <c r="A1432" s="601" t="s">
        <v>3080</v>
      </c>
      <c r="B1432" s="601" t="str">
        <f t="shared" si="22"/>
        <v xml:space="preserve">TJX </v>
      </c>
      <c r="C1432" s="601" t="str">
        <f>MID(Table3[[#This Row],[Statement Code]],FIND("- ",Table3[[#This Row],[Statement Code]])+2,100)</f>
        <v>TOTAL ASSETS</v>
      </c>
      <c r="D1432" s="602" t="s">
        <v>3081</v>
      </c>
      <c r="E1432" s="601" t="s">
        <v>2957</v>
      </c>
      <c r="F1432" s="601" t="s">
        <v>551</v>
      </c>
      <c r="G1432" s="601">
        <v>24132871</v>
      </c>
      <c r="H1432" s="601">
        <v>30686364</v>
      </c>
      <c r="I1432" s="601">
        <v>28276487</v>
      </c>
      <c r="J1432" s="601">
        <v>28191000</v>
      </c>
      <c r="K1432" s="601">
        <v>29575000</v>
      </c>
      <c r="L1432" s="601" t="s">
        <v>23</v>
      </c>
    </row>
    <row r="1433" spans="1:12" hidden="1">
      <c r="A1433" s="601" t="s">
        <v>3082</v>
      </c>
      <c r="B1433" s="601" t="str">
        <f t="shared" si="22"/>
        <v xml:space="preserve">TJX </v>
      </c>
      <c r="C1433" s="601" t="str">
        <f>MID(Table3[[#This Row],[Statement Code]],FIND("- ",Table3[[#This Row],[Statement Code]])+2,100)</f>
        <v>TOTAL CAPITAL</v>
      </c>
      <c r="D1433" s="602" t="s">
        <v>3083</v>
      </c>
      <c r="E1433" s="601" t="s">
        <v>2957</v>
      </c>
      <c r="F1433" s="601" t="s">
        <v>551</v>
      </c>
      <c r="G1433" s="601">
        <v>8184837</v>
      </c>
      <c r="H1433" s="601">
        <v>11165605</v>
      </c>
      <c r="I1433" s="601">
        <v>9357833</v>
      </c>
      <c r="J1433" s="601">
        <v>9223000</v>
      </c>
      <c r="K1433" s="601">
        <v>10164000</v>
      </c>
      <c r="L1433" s="601" t="s">
        <v>23</v>
      </c>
    </row>
    <row r="1434" spans="1:12">
      <c r="A1434" s="601" t="s">
        <v>3084</v>
      </c>
      <c r="B1434" s="601" t="str">
        <f t="shared" si="22"/>
        <v xml:space="preserve">TJX </v>
      </c>
      <c r="C1434" s="601" t="str">
        <f>MID(Table3[[#This Row],[Statement Code]],FIND("- ",Table3[[#This Row],[Statement Code]])+2,100)</f>
        <v>TOTAL DEBT</v>
      </c>
      <c r="D1434" s="602" t="s">
        <v>3085</v>
      </c>
      <c r="E1434" s="601" t="s">
        <v>2957</v>
      </c>
      <c r="F1434" s="601" t="s">
        <v>551</v>
      </c>
      <c r="G1434" s="601">
        <v>2236600</v>
      </c>
      <c r="H1434" s="601">
        <v>6082600</v>
      </c>
      <c r="I1434" s="601">
        <v>3354800</v>
      </c>
      <c r="J1434" s="601">
        <v>3359000</v>
      </c>
      <c r="K1434" s="601">
        <v>2862000</v>
      </c>
      <c r="L1434" s="601" t="s">
        <v>23</v>
      </c>
    </row>
    <row r="1435" spans="1:12" hidden="1">
      <c r="A1435" s="601" t="s">
        <v>3086</v>
      </c>
      <c r="B1435" s="601" t="str">
        <f t="shared" si="22"/>
        <v xml:space="preserve">TJX </v>
      </c>
      <c r="C1435" s="601" t="str">
        <f>MID(Table3[[#This Row],[Statement Code]],FIND("- ",Table3[[#This Row],[Statement Code]])+2,100)</f>
        <v>TOTAL INTANGIBLE OT ASSETS-NET</v>
      </c>
      <c r="D1435" s="602" t="s">
        <v>3087</v>
      </c>
      <c r="E1435" s="601" t="s">
        <v>2957</v>
      </c>
      <c r="F1435" s="601" t="s">
        <v>551</v>
      </c>
      <c r="G1435" s="601">
        <v>95546</v>
      </c>
      <c r="H1435" s="601">
        <v>98998</v>
      </c>
      <c r="I1435" s="601">
        <v>96662</v>
      </c>
      <c r="J1435" s="601">
        <v>97000</v>
      </c>
      <c r="K1435" s="601">
        <v>95000</v>
      </c>
      <c r="L1435" s="601" t="s">
        <v>23</v>
      </c>
    </row>
    <row r="1436" spans="1:12">
      <c r="A1436" s="601" t="s">
        <v>3088</v>
      </c>
      <c r="B1436" s="601" t="str">
        <f t="shared" si="22"/>
        <v xml:space="preserve">TJX </v>
      </c>
      <c r="C1436" s="601" t="str">
        <f>MID(Table3[[#This Row],[Statement Code]],FIND("- ",Table3[[#This Row],[Statement Code]])+2,100)</f>
        <v>TOTAL LIABILITIES</v>
      </c>
      <c r="D1436" s="602" t="s">
        <v>3089</v>
      </c>
      <c r="E1436" s="601" t="s">
        <v>2957</v>
      </c>
      <c r="F1436" s="601" t="s">
        <v>551</v>
      </c>
      <c r="G1436" s="601">
        <v>18184659</v>
      </c>
      <c r="H1436" s="601">
        <v>24853680</v>
      </c>
      <c r="I1436" s="601">
        <v>22273495</v>
      </c>
      <c r="J1436" s="601">
        <v>21827000</v>
      </c>
      <c r="K1436" s="601">
        <v>22273000</v>
      </c>
      <c r="L1436" s="601" t="s">
        <v>23</v>
      </c>
    </row>
    <row r="1437" spans="1:12" hidden="1">
      <c r="A1437" s="601" t="s">
        <v>3090</v>
      </c>
      <c r="B1437" s="601" t="str">
        <f t="shared" si="22"/>
        <v xml:space="preserve">TJX </v>
      </c>
      <c r="C1437" s="601" t="str">
        <f>MID(Table3[[#This Row],[Statement Code]],FIND("- ",Table3[[#This Row],[Statement Code]])+2,100)</f>
        <v>TOTAL LIABILITIES &amp; SHAREHOLDE</v>
      </c>
      <c r="D1437" s="602" t="s">
        <v>3091</v>
      </c>
      <c r="E1437" s="601" t="s">
        <v>2957</v>
      </c>
      <c r="F1437" s="601" t="s">
        <v>551</v>
      </c>
      <c r="G1437" s="601">
        <v>24132871</v>
      </c>
      <c r="H1437" s="601">
        <v>30686364</v>
      </c>
      <c r="I1437" s="601">
        <v>28276487</v>
      </c>
      <c r="J1437" s="601">
        <v>28191000</v>
      </c>
      <c r="K1437" s="601">
        <v>29575000</v>
      </c>
      <c r="L1437" s="601" t="s">
        <v>23</v>
      </c>
    </row>
    <row r="1438" spans="1:12" hidden="1">
      <c r="A1438" s="601" t="s">
        <v>3092</v>
      </c>
      <c r="B1438" s="601" t="str">
        <f t="shared" si="22"/>
        <v xml:space="preserve">TJX </v>
      </c>
      <c r="C1438" s="601" t="str">
        <f>MID(Table3[[#This Row],[Statement Code]],FIND("- ",Table3[[#This Row],[Statement Code]])+2,100)</f>
        <v>TOTAL SHAREHOLDERS EQUITY</v>
      </c>
      <c r="D1438" s="602" t="s">
        <v>3093</v>
      </c>
      <c r="E1438" s="601" t="s">
        <v>2957</v>
      </c>
      <c r="F1438" s="601" t="s">
        <v>551</v>
      </c>
      <c r="G1438" s="601">
        <v>5948200</v>
      </c>
      <c r="H1438" s="601">
        <v>5832700</v>
      </c>
      <c r="I1438" s="601">
        <v>6003000</v>
      </c>
      <c r="J1438" s="601">
        <v>6364000</v>
      </c>
      <c r="K1438" s="601">
        <v>7302000</v>
      </c>
      <c r="L1438" s="601" t="s">
        <v>23</v>
      </c>
    </row>
    <row r="1439" spans="1:12" hidden="1">
      <c r="A1439" s="601" t="s">
        <v>3094</v>
      </c>
      <c r="B1439" s="601" t="str">
        <f t="shared" si="22"/>
        <v xml:space="preserve">TJX </v>
      </c>
      <c r="C1439" s="601" t="str">
        <f>MID(Table3[[#This Row],[Statement Code]],FIND("- ",Table3[[#This Row],[Statement Code]])+2,100)</f>
        <v>WORKING CAPITAL</v>
      </c>
      <c r="D1439" s="602" t="s">
        <v>3095</v>
      </c>
      <c r="E1439" s="601" t="s">
        <v>2957</v>
      </c>
      <c r="F1439" s="601" t="s">
        <v>551</v>
      </c>
      <c r="G1439" s="601">
        <v>1740400</v>
      </c>
      <c r="H1439" s="601">
        <v>4935600</v>
      </c>
      <c r="I1439" s="601">
        <v>2790500</v>
      </c>
      <c r="J1439" s="601">
        <v>2151000</v>
      </c>
      <c r="K1439" s="601">
        <v>2213000</v>
      </c>
      <c r="L1439" s="601" t="s">
        <v>23</v>
      </c>
    </row>
    <row r="1440" spans="1:12" hidden="1">
      <c r="A1440" s="601" t="s">
        <v>3096</v>
      </c>
      <c r="B1440" s="601" t="str">
        <f t="shared" si="22"/>
        <v xml:space="preserve">TJX </v>
      </c>
      <c r="C1440" s="601" t="str">
        <f>MID(Table3[[#This Row],[Statement Code]],FIND("- ",Table3[[#This Row],[Statement Code]])+2,100)</f>
        <v>BK VAL PS 12M FWD</v>
      </c>
      <c r="D1440" s="602" t="s">
        <v>3097</v>
      </c>
      <c r="E1440" s="601" t="s">
        <v>2957</v>
      </c>
      <c r="F1440" s="601" t="s">
        <v>551</v>
      </c>
      <c r="G1440" s="601">
        <v>4.4000000000000004</v>
      </c>
      <c r="H1440" s="601">
        <v>5.52</v>
      </c>
      <c r="I1440" s="601">
        <v>5.98</v>
      </c>
      <c r="J1440" s="601">
        <v>5.45</v>
      </c>
      <c r="K1440" s="601">
        <v>6.99</v>
      </c>
      <c r="L1440" s="601">
        <v>8.0399999999999991</v>
      </c>
    </row>
    <row r="1441" spans="1:12" hidden="1">
      <c r="A1441" s="601" t="s">
        <v>3098</v>
      </c>
      <c r="B1441" s="601" t="str">
        <f t="shared" si="22"/>
        <v xml:space="preserve">TJX </v>
      </c>
      <c r="C1441" s="601" t="str">
        <f>MID(Table3[[#This Row],[Statement Code]],FIND("- ",Table3[[#This Row],[Statement Code]])+2,100)</f>
        <v>EV 12M FWD</v>
      </c>
      <c r="D1441" s="602" t="s">
        <v>3099</v>
      </c>
      <c r="E1441" s="601" t="s">
        <v>2957</v>
      </c>
      <c r="F1441" s="601" t="s">
        <v>551</v>
      </c>
      <c r="G1441" s="601">
        <v>66175440</v>
      </c>
      <c r="H1441" s="601">
        <v>67372750</v>
      </c>
      <c r="I1441" s="601">
        <v>89092620</v>
      </c>
      <c r="J1441" s="601">
        <v>81143310</v>
      </c>
      <c r="K1441" s="601">
        <v>103287500</v>
      </c>
      <c r="L1441" s="601">
        <v>122606900</v>
      </c>
    </row>
    <row r="1442" spans="1:12" hidden="1">
      <c r="A1442" s="601" t="s">
        <v>3100</v>
      </c>
      <c r="B1442" s="601" t="str">
        <f t="shared" si="22"/>
        <v xml:space="preserve">TJX </v>
      </c>
      <c r="C1442" s="601" t="str">
        <f>MID(Table3[[#This Row],[Statement Code]],FIND("- ",Table3[[#This Row],[Statement Code]])+2,100)</f>
        <v>NET INCOME 12M FWD</v>
      </c>
      <c r="D1442" s="602" t="s">
        <v>3101</v>
      </c>
      <c r="E1442" s="601" t="s">
        <v>2957</v>
      </c>
      <c r="F1442" s="601" t="s">
        <v>551</v>
      </c>
      <c r="G1442" s="601">
        <v>3308942</v>
      </c>
      <c r="H1442" s="601">
        <v>2091167</v>
      </c>
      <c r="I1442" s="601">
        <v>3938504</v>
      </c>
      <c r="J1442" s="601">
        <v>3891737</v>
      </c>
      <c r="K1442" s="601">
        <v>4520602</v>
      </c>
      <c r="L1442" s="601">
        <v>4993945</v>
      </c>
    </row>
    <row r="1443" spans="1:12" hidden="1">
      <c r="A1443" s="601" t="s">
        <v>3102</v>
      </c>
      <c r="B1443" s="601" t="str">
        <f t="shared" si="22"/>
        <v xml:space="preserve">TJX </v>
      </c>
      <c r="C1443" s="601" t="str">
        <f>MID(Table3[[#This Row],[Statement Code]],FIND("- ",Table3[[#This Row],[Statement Code]])+2,100)</f>
        <v>PRETAX PRF 12M FWD</v>
      </c>
      <c r="D1443" s="602" t="s">
        <v>3103</v>
      </c>
      <c r="E1443" s="601" t="s">
        <v>2957</v>
      </c>
      <c r="F1443" s="601" t="s">
        <v>551</v>
      </c>
      <c r="G1443" s="601">
        <v>4468441</v>
      </c>
      <c r="H1443" s="601">
        <v>2806603</v>
      </c>
      <c r="I1443" s="601">
        <v>5298949</v>
      </c>
      <c r="J1443" s="601">
        <v>5212074</v>
      </c>
      <c r="K1443" s="601">
        <v>6097859</v>
      </c>
      <c r="L1443" s="601">
        <v>6689105</v>
      </c>
    </row>
    <row r="1444" spans="1:12" hidden="1">
      <c r="A1444" s="601" t="s">
        <v>3104</v>
      </c>
      <c r="B1444" s="601" t="str">
        <f t="shared" si="22"/>
        <v xml:space="preserve">TJX </v>
      </c>
      <c r="C1444" s="601" t="str">
        <f>MID(Table3[[#This Row],[Statement Code]],FIND("- ",Table3[[#This Row],[Statement Code]])+2,100)</f>
        <v>ROE 12M FWD</v>
      </c>
      <c r="D1444" s="602" t="s">
        <v>3105</v>
      </c>
      <c r="E1444" s="601" t="s">
        <v>2957</v>
      </c>
      <c r="F1444" s="601" t="s">
        <v>551</v>
      </c>
      <c r="G1444" s="601">
        <v>63.26</v>
      </c>
      <c r="H1444" s="601">
        <v>32.94</v>
      </c>
      <c r="I1444" s="601">
        <v>55.95</v>
      </c>
      <c r="J1444" s="601">
        <v>64.53</v>
      </c>
      <c r="K1444" s="601">
        <v>60.7</v>
      </c>
      <c r="L1444" s="601">
        <v>59.27</v>
      </c>
    </row>
    <row r="1445" spans="1:12" hidden="1">
      <c r="A1445" s="601" t="s">
        <v>3106</v>
      </c>
      <c r="B1445" s="601" t="str">
        <f t="shared" si="22"/>
        <v xml:space="preserve">TJX </v>
      </c>
      <c r="C1445" s="601" t="str">
        <f>MID(Table3[[#This Row],[Statement Code]],FIND("- ",Table3[[#This Row],[Statement Code]])+2,100)</f>
        <v>SALES 12M FWD</v>
      </c>
      <c r="D1445" s="602" t="s">
        <v>3107</v>
      </c>
      <c r="E1445" s="601" t="s">
        <v>2957</v>
      </c>
      <c r="F1445" s="601" t="s">
        <v>551</v>
      </c>
      <c r="G1445" s="601">
        <v>42768460</v>
      </c>
      <c r="H1445" s="601">
        <v>38305010</v>
      </c>
      <c r="I1445" s="601">
        <v>50422830</v>
      </c>
      <c r="J1445" s="601">
        <v>51767170</v>
      </c>
      <c r="K1445" s="601">
        <v>55560740</v>
      </c>
      <c r="L1445" s="601">
        <v>58131710</v>
      </c>
    </row>
    <row r="1446" spans="1:12" hidden="1">
      <c r="A1446" s="601" t="s">
        <v>3108</v>
      </c>
      <c r="B1446" s="601" t="str">
        <f t="shared" si="22"/>
        <v xml:space="preserve">TJX </v>
      </c>
      <c r="C1446" s="601" t="str">
        <f>MID(Table3[[#This Row],[Statement Code]],FIND("- ",Table3[[#This Row],[Statement Code]])+2,100)</f>
        <v>DECREASE/INCREASE RECEIVABLES</v>
      </c>
      <c r="D1446" s="602" t="s">
        <v>3109</v>
      </c>
      <c r="E1446" s="601" t="s">
        <v>2957</v>
      </c>
      <c r="F1446" s="601" t="s">
        <v>551</v>
      </c>
      <c r="G1446" s="601">
        <v>-42998</v>
      </c>
      <c r="H1446" s="601">
        <v>-60384</v>
      </c>
      <c r="I1446" s="601">
        <v>-139727</v>
      </c>
      <c r="J1446" s="601">
        <v>-56000</v>
      </c>
      <c r="K1446" s="601">
        <v>97000</v>
      </c>
      <c r="L1446" s="601" t="s">
        <v>23</v>
      </c>
    </row>
    <row r="1447" spans="1:12" hidden="1">
      <c r="A1447" s="601" t="s">
        <v>3110</v>
      </c>
      <c r="B1447" s="601" t="str">
        <f t="shared" si="22"/>
        <v xml:space="preserve">TJX </v>
      </c>
      <c r="C1447" s="601" t="str">
        <f>MID(Table3[[#This Row],[Statement Code]],FIND("- ",Table3[[#This Row],[Statement Code]])+2,100)</f>
        <v>DECREASE/INCR OTH ASTS/LIABILT</v>
      </c>
      <c r="D1447" s="602" t="s">
        <v>3111</v>
      </c>
      <c r="E1447" s="601" t="s">
        <v>2957</v>
      </c>
      <c r="F1447" s="601" t="s">
        <v>551</v>
      </c>
      <c r="G1447" s="601">
        <v>-51261</v>
      </c>
      <c r="H1447" s="601">
        <v>-57450</v>
      </c>
      <c r="I1447" s="601">
        <v>32563</v>
      </c>
      <c r="J1447" s="601">
        <v>-73000</v>
      </c>
      <c r="K1447" s="601">
        <v>-40000</v>
      </c>
      <c r="L1447" s="601" t="s">
        <v>23</v>
      </c>
    </row>
    <row r="1448" spans="1:12" hidden="1">
      <c r="A1448" s="601" t="s">
        <v>3112</v>
      </c>
      <c r="B1448" s="601" t="str">
        <f t="shared" si="22"/>
        <v xml:space="preserve">TJX </v>
      </c>
      <c r="C1448" s="601" t="str">
        <f>MID(Table3[[#This Row],[Statement Code]],FIND("- ",Table3[[#This Row],[Statement Code]])+2,100)</f>
        <v>DECREASE/INCREASE INVENTORIES</v>
      </c>
      <c r="D1448" s="602" t="s">
        <v>3113</v>
      </c>
      <c r="E1448" s="601" t="s">
        <v>2957</v>
      </c>
      <c r="F1448" s="601" t="s">
        <v>551</v>
      </c>
      <c r="G1448" s="601">
        <v>-296541</v>
      </c>
      <c r="H1448" s="601">
        <v>588756</v>
      </c>
      <c r="I1448" s="601">
        <v>-1657753</v>
      </c>
      <c r="J1448" s="601">
        <v>58000</v>
      </c>
      <c r="K1448" s="601">
        <v>-145000</v>
      </c>
      <c r="L1448" s="601" t="s">
        <v>23</v>
      </c>
    </row>
    <row r="1449" spans="1:12" hidden="1">
      <c r="A1449" s="601" t="s">
        <v>3114</v>
      </c>
      <c r="B1449" s="601" t="str">
        <f t="shared" si="22"/>
        <v xml:space="preserve">TJX </v>
      </c>
      <c r="C1449" s="601" t="str">
        <f>MID(Table3[[#This Row],[Statement Code]],FIND("- ",Table3[[#This Row],[Statement Code]])+2,100)</f>
        <v>DECREASE IN INVESTMENTS</v>
      </c>
      <c r="D1449" s="602" t="s">
        <v>3115</v>
      </c>
      <c r="E1449" s="601" t="s">
        <v>2957</v>
      </c>
      <c r="F1449" s="601" t="s">
        <v>551</v>
      </c>
      <c r="G1449" s="601">
        <v>12720</v>
      </c>
      <c r="H1449" s="601">
        <v>18524</v>
      </c>
      <c r="I1449" s="601">
        <v>20296</v>
      </c>
      <c r="J1449" s="601">
        <v>18000</v>
      </c>
      <c r="K1449" s="601">
        <v>33000</v>
      </c>
      <c r="L1449" s="601" t="s">
        <v>23</v>
      </c>
    </row>
    <row r="1450" spans="1:12" hidden="1">
      <c r="A1450" s="601" t="s">
        <v>3116</v>
      </c>
      <c r="B1450" s="601" t="str">
        <f t="shared" si="22"/>
        <v xml:space="preserve">GAP </v>
      </c>
      <c r="C1450" s="601" t="str">
        <f>MID(Table3[[#This Row],[Statement Code]],FIND("- ",Table3[[#This Row],[Statement Code]])+2,100)</f>
        <v>MARKET VALUE</v>
      </c>
      <c r="D1450" s="602" t="s">
        <v>3117</v>
      </c>
      <c r="E1450" s="601" t="s">
        <v>3118</v>
      </c>
      <c r="F1450" s="601" t="s">
        <v>551</v>
      </c>
      <c r="G1450" s="601">
        <v>6741.63</v>
      </c>
      <c r="H1450" s="601">
        <v>6272.62</v>
      </c>
      <c r="I1450" s="601">
        <v>9158.16</v>
      </c>
      <c r="J1450" s="601">
        <v>3316.91</v>
      </c>
      <c r="K1450" s="601">
        <v>3746.89</v>
      </c>
      <c r="L1450" s="601">
        <v>7586.55</v>
      </c>
    </row>
    <row r="1451" spans="1:12" hidden="1">
      <c r="A1451" s="601" t="s">
        <v>3119</v>
      </c>
      <c r="B1451" s="601" t="str">
        <f t="shared" si="22"/>
        <v xml:space="preserve">GAP </v>
      </c>
      <c r="C1451" s="601" t="str">
        <f>MID(Table3[[#This Row],[Statement Code]],FIND("- ",Table3[[#This Row],[Statement Code]])+2,100)</f>
        <v>PER</v>
      </c>
      <c r="D1451" s="602" t="s">
        <v>3120</v>
      </c>
      <c r="E1451" s="601" t="s">
        <v>3118</v>
      </c>
      <c r="F1451" s="601" t="s">
        <v>551</v>
      </c>
      <c r="G1451" s="601">
        <v>7.1</v>
      </c>
      <c r="H1451" s="601" t="s">
        <v>23</v>
      </c>
      <c r="I1451" s="601">
        <v>14.7</v>
      </c>
      <c r="J1451" s="601" t="s">
        <v>23</v>
      </c>
      <c r="K1451" s="601">
        <v>35.299999999999997</v>
      </c>
      <c r="L1451" s="601">
        <v>10</v>
      </c>
    </row>
    <row r="1452" spans="1:12" hidden="1">
      <c r="A1452" s="601" t="s">
        <v>3121</v>
      </c>
      <c r="B1452" s="601" t="str">
        <f t="shared" si="22"/>
        <v xml:space="preserve">GAP </v>
      </c>
      <c r="C1452" s="601" t="str">
        <f>MID(Table3[[#This Row],[Statement Code]],FIND("- ",Table3[[#This Row],[Statement Code]])+2,100)</f>
        <v>12MTH FORWARD EPS</v>
      </c>
      <c r="D1452" s="602" t="s">
        <v>3122</v>
      </c>
      <c r="E1452" s="601" t="s">
        <v>3118</v>
      </c>
      <c r="F1452" s="601" t="s">
        <v>551</v>
      </c>
      <c r="G1452" s="601">
        <v>2.101</v>
      </c>
      <c r="H1452" s="601">
        <v>3.3000000000000002E-2</v>
      </c>
      <c r="I1452" s="601">
        <v>2.4129999999999998</v>
      </c>
      <c r="J1452" s="601">
        <v>0.38300000000000001</v>
      </c>
      <c r="K1452" s="601">
        <v>0.79700000000000004</v>
      </c>
      <c r="L1452" s="601">
        <v>1.9730000000000001</v>
      </c>
    </row>
    <row r="1453" spans="1:12" hidden="1">
      <c r="A1453" s="601" t="s">
        <v>3123</v>
      </c>
      <c r="B1453" s="601" t="e">
        <f t="shared" si="22"/>
        <v>#VALUE!</v>
      </c>
      <c r="C1453" s="601" t="e">
        <f>MID(Table3[[#This Row],[Statement Code]],FIND("- ",Table3[[#This Row],[Statement Code]])+2,100)</f>
        <v>#VALUE!</v>
      </c>
      <c r="D1453" s="602" t="s">
        <v>3124</v>
      </c>
      <c r="E1453" s="601" t="s">
        <v>3118</v>
      </c>
      <c r="F1453" s="601" t="s">
        <v>551</v>
      </c>
      <c r="G1453" s="601">
        <v>12.709</v>
      </c>
      <c r="H1453" s="601">
        <v>0.193</v>
      </c>
      <c r="I1453" s="601">
        <v>10.127000000000001</v>
      </c>
      <c r="J1453" s="601">
        <v>4.1040000000000001</v>
      </c>
      <c r="K1453" s="601">
        <v>7.3159999999999998</v>
      </c>
      <c r="L1453" s="601">
        <v>9.8559999999999999</v>
      </c>
    </row>
    <row r="1454" spans="1:12" hidden="1">
      <c r="A1454" s="601" t="s">
        <v>3123</v>
      </c>
      <c r="B1454" s="601" t="e">
        <f t="shared" si="22"/>
        <v>#VALUE!</v>
      </c>
      <c r="C1454" s="601" t="e">
        <f>MID(Table3[[#This Row],[Statement Code]],FIND("- ",Table3[[#This Row],[Statement Code]])+2,100)</f>
        <v>#VALUE!</v>
      </c>
      <c r="D1454" s="602" t="s">
        <v>3125</v>
      </c>
      <c r="E1454" s="601" t="s">
        <v>3118</v>
      </c>
      <c r="F1454" s="601" t="s">
        <v>551</v>
      </c>
      <c r="G1454" s="601">
        <v>5.6390000000000002</v>
      </c>
      <c r="H1454" s="601">
        <v>30.928000000000001</v>
      </c>
      <c r="I1454" s="601">
        <v>6.7610000000000001</v>
      </c>
      <c r="J1454" s="601">
        <v>15.218999999999999</v>
      </c>
      <c r="K1454" s="601">
        <v>7.9720000000000004</v>
      </c>
      <c r="L1454" s="601">
        <v>6.96</v>
      </c>
    </row>
    <row r="1455" spans="1:12" hidden="1">
      <c r="A1455" s="601" t="s">
        <v>3123</v>
      </c>
      <c r="B1455" s="601" t="e">
        <f t="shared" si="22"/>
        <v>#VALUE!</v>
      </c>
      <c r="C1455" s="601" t="e">
        <f>MID(Table3[[#This Row],[Statement Code]],FIND("- ",Table3[[#This Row],[Statement Code]])+2,100)</f>
        <v>#VALUE!</v>
      </c>
      <c r="D1455" s="602" t="s">
        <v>3126</v>
      </c>
      <c r="E1455" s="601" t="s">
        <v>3118</v>
      </c>
      <c r="F1455" s="601" t="s">
        <v>551</v>
      </c>
      <c r="G1455" s="601">
        <v>3.7919999999999998</v>
      </c>
      <c r="H1455" s="601">
        <v>8.3879999999999999</v>
      </c>
      <c r="I1455" s="601">
        <v>4.9619999999999997</v>
      </c>
      <c r="J1455" s="601">
        <v>4.9379999999999997</v>
      </c>
      <c r="K1455" s="601">
        <v>3.55</v>
      </c>
      <c r="L1455" s="601">
        <v>4.6619999999999999</v>
      </c>
    </row>
    <row r="1456" spans="1:12" hidden="1">
      <c r="A1456" s="601" t="s">
        <v>3123</v>
      </c>
      <c r="B1456" s="601" t="e">
        <f t="shared" si="22"/>
        <v>#VALUE!</v>
      </c>
      <c r="C1456" s="601" t="e">
        <f>MID(Table3[[#This Row],[Statement Code]],FIND("- ",Table3[[#This Row],[Statement Code]])+2,100)</f>
        <v>#VALUE!</v>
      </c>
      <c r="D1456" s="602" t="s">
        <v>3127</v>
      </c>
      <c r="E1456" s="601" t="s">
        <v>3118</v>
      </c>
      <c r="F1456" s="601" t="s">
        <v>551</v>
      </c>
      <c r="G1456" s="601">
        <v>10.275</v>
      </c>
      <c r="H1456" s="601">
        <v>3.1962999999999999</v>
      </c>
      <c r="I1456" s="601">
        <v>6.1875</v>
      </c>
      <c r="J1456" s="601">
        <v>1.9737</v>
      </c>
      <c r="K1456" s="601">
        <v>7.3708</v>
      </c>
      <c r="L1456" s="601">
        <v>9.5052000000000003</v>
      </c>
    </row>
    <row r="1457" spans="1:12" hidden="1">
      <c r="A1457" s="601" t="s">
        <v>3123</v>
      </c>
      <c r="B1457" s="601" t="e">
        <f t="shared" si="22"/>
        <v>#VALUE!</v>
      </c>
      <c r="C1457" s="601" t="e">
        <f>MID(Table3[[#This Row],[Statement Code]],FIND("- ",Table3[[#This Row],[Statement Code]])+2,100)</f>
        <v>#VALUE!</v>
      </c>
      <c r="D1457" s="602" t="s">
        <v>3128</v>
      </c>
      <c r="E1457" s="601" t="s">
        <v>3118</v>
      </c>
      <c r="F1457" s="601" t="s">
        <v>551</v>
      </c>
      <c r="G1457" s="601">
        <v>0.38100000000000001</v>
      </c>
      <c r="H1457" s="601">
        <v>0.41199999999999998</v>
      </c>
      <c r="I1457" s="601">
        <v>0.53800000000000003</v>
      </c>
      <c r="J1457" s="601">
        <v>0.248</v>
      </c>
      <c r="K1457" s="601">
        <v>0.22700000000000001</v>
      </c>
      <c r="L1457" s="601">
        <v>0.47599999999999998</v>
      </c>
    </row>
    <row r="1458" spans="1:12" hidden="1">
      <c r="A1458" s="601" t="s">
        <v>3123</v>
      </c>
      <c r="B1458" s="601" t="e">
        <f t="shared" si="22"/>
        <v>#VALUE!</v>
      </c>
      <c r="C1458" s="601" t="e">
        <f>MID(Table3[[#This Row],[Statement Code]],FIND("- ",Table3[[#This Row],[Statement Code]])+2,100)</f>
        <v>#VALUE!</v>
      </c>
      <c r="D1458" s="602" t="s">
        <v>3129</v>
      </c>
      <c r="E1458" s="601" t="s">
        <v>3118</v>
      </c>
      <c r="F1458" s="601" t="s">
        <v>551</v>
      </c>
      <c r="G1458" s="601">
        <v>-0.14199999999999999</v>
      </c>
      <c r="H1458" s="601">
        <v>0.44700000000000001</v>
      </c>
      <c r="I1458" s="601">
        <v>0.441</v>
      </c>
      <c r="J1458" s="601">
        <v>1.224</v>
      </c>
      <c r="K1458" s="601">
        <v>1.6639999999999999</v>
      </c>
      <c r="L1458" s="601">
        <v>1.2649999999999999</v>
      </c>
    </row>
    <row r="1459" spans="1:12" hidden="1">
      <c r="A1459" s="601" t="s">
        <v>3123</v>
      </c>
      <c r="B1459" s="601" t="e">
        <f t="shared" si="22"/>
        <v>#VALUE!</v>
      </c>
      <c r="C1459" s="601" t="e">
        <f>MID(Table3[[#This Row],[Statement Code]],FIND("- ",Table3[[#This Row],[Statement Code]])+2,100)</f>
        <v>#VALUE!</v>
      </c>
      <c r="D1459" s="602" t="s">
        <v>3130</v>
      </c>
      <c r="E1459" s="601" t="s">
        <v>3118</v>
      </c>
      <c r="F1459" s="601" t="s">
        <v>551</v>
      </c>
      <c r="G1459" s="601">
        <v>-3.5000000000000003E-2</v>
      </c>
      <c r="H1459" s="601">
        <v>4.4999999999999998E-2</v>
      </c>
      <c r="I1459" s="601">
        <v>8.8999999999999996E-2</v>
      </c>
      <c r="J1459" s="601">
        <v>0.20799999999999999</v>
      </c>
      <c r="K1459" s="601">
        <v>0.36</v>
      </c>
      <c r="L1459" s="601">
        <v>0.24</v>
      </c>
    </row>
    <row r="1460" spans="1:12" hidden="1">
      <c r="A1460" s="601" t="s">
        <v>3123</v>
      </c>
      <c r="B1460" s="601" t="e">
        <f t="shared" si="22"/>
        <v>#VALUE!</v>
      </c>
      <c r="C1460" s="601" t="e">
        <f>MID(Table3[[#This Row],[Statement Code]],FIND("- ",Table3[[#This Row],[Statement Code]])+2,100)</f>
        <v>#VALUE!</v>
      </c>
      <c r="D1460" s="602" t="s">
        <v>3131</v>
      </c>
      <c r="E1460" s="601" t="s">
        <v>3118</v>
      </c>
      <c r="F1460" s="601" t="s">
        <v>551</v>
      </c>
      <c r="G1460" s="601">
        <v>0.47</v>
      </c>
      <c r="H1460" s="601">
        <v>23.15</v>
      </c>
      <c r="I1460" s="601">
        <v>0.45</v>
      </c>
      <c r="J1460" s="601">
        <v>1.44</v>
      </c>
      <c r="K1460" s="601">
        <v>0.73</v>
      </c>
      <c r="L1460" s="601">
        <v>0.48</v>
      </c>
    </row>
    <row r="1461" spans="1:12" hidden="1">
      <c r="A1461" s="601" t="s">
        <v>3123</v>
      </c>
      <c r="B1461" s="601" t="e">
        <f t="shared" si="22"/>
        <v>#VALUE!</v>
      </c>
      <c r="C1461" s="601" t="e">
        <f>MID(Table3[[#This Row],[Statement Code]],FIND("- ",Table3[[#This Row],[Statement Code]])+2,100)</f>
        <v>#VALUE!</v>
      </c>
      <c r="D1461" s="602" t="s">
        <v>3132</v>
      </c>
      <c r="E1461" s="601" t="s">
        <v>3118</v>
      </c>
      <c r="F1461" s="601" t="s">
        <v>551</v>
      </c>
      <c r="G1461" s="601">
        <v>0.28999999999999998</v>
      </c>
      <c r="H1461" s="601">
        <v>13.81</v>
      </c>
      <c r="I1461" s="601">
        <v>0.31</v>
      </c>
      <c r="J1461" s="601">
        <v>0.86</v>
      </c>
      <c r="K1461" s="601">
        <v>0.48</v>
      </c>
      <c r="L1461" s="601">
        <v>0.34</v>
      </c>
    </row>
    <row r="1462" spans="1:12" hidden="1">
      <c r="A1462" s="601" t="s">
        <v>3123</v>
      </c>
      <c r="B1462" s="601" t="e">
        <f t="shared" si="22"/>
        <v>#VALUE!</v>
      </c>
      <c r="C1462" s="601" t="e">
        <f>MID(Table3[[#This Row],[Statement Code]],FIND("- ",Table3[[#This Row],[Statement Code]])+2,100)</f>
        <v>#VALUE!</v>
      </c>
      <c r="D1462" s="602" t="s">
        <v>3133</v>
      </c>
      <c r="E1462" s="601" t="s">
        <v>3118</v>
      </c>
      <c r="F1462" s="601" t="s">
        <v>551</v>
      </c>
      <c r="G1462" s="601">
        <v>1.6857</v>
      </c>
      <c r="H1462" s="601">
        <v>2.4251</v>
      </c>
      <c r="I1462" s="601">
        <v>2.6886000000000001</v>
      </c>
      <c r="J1462" s="601">
        <v>1.4139999999999999</v>
      </c>
      <c r="K1462" s="601">
        <v>1.6987000000000001</v>
      </c>
      <c r="L1462" s="601">
        <v>2.2698</v>
      </c>
    </row>
    <row r="1463" spans="1:12">
      <c r="A1463" s="601" t="s">
        <v>3134</v>
      </c>
      <c r="B1463" s="601" t="str">
        <f t="shared" si="22"/>
        <v xml:space="preserve">GAP </v>
      </c>
      <c r="C1463" s="601" t="str">
        <f>MID(Table3[[#This Row],[Statement Code]],FIND("- ",Table3[[#This Row],[Statement Code]])+2,100)</f>
        <v>12MTH TRAILING EPS</v>
      </c>
      <c r="D1463" s="602" t="s">
        <v>3135</v>
      </c>
      <c r="E1463" s="601" t="s">
        <v>3118</v>
      </c>
      <c r="F1463" s="601" t="s">
        <v>551</v>
      </c>
      <c r="G1463" s="601">
        <v>2.2810000000000001</v>
      </c>
      <c r="H1463" s="601">
        <v>-0.74299999999999999</v>
      </c>
      <c r="I1463" s="601">
        <v>0.77700000000000002</v>
      </c>
      <c r="J1463" s="601">
        <v>0.3</v>
      </c>
      <c r="K1463" s="601">
        <v>0.313</v>
      </c>
      <c r="L1463" s="601">
        <v>1.6870000000000001</v>
      </c>
    </row>
    <row r="1464" spans="1:12" hidden="1">
      <c r="A1464" s="601" t="s">
        <v>3136</v>
      </c>
      <c r="B1464" s="601" t="str">
        <f t="shared" si="22"/>
        <v xml:space="preserve">GAP </v>
      </c>
      <c r="C1464" s="601" t="str">
        <f>MID(Table3[[#This Row],[Statement Code]],FIND("- ",Table3[[#This Row],[Statement Code]])+2,100)</f>
        <v>DIV.PER SHR.</v>
      </c>
      <c r="D1464" s="602" t="s">
        <v>3137</v>
      </c>
      <c r="E1464" s="601" t="s">
        <v>3118</v>
      </c>
      <c r="F1464" s="601" t="s">
        <v>551</v>
      </c>
      <c r="G1464" s="601">
        <v>0.97</v>
      </c>
      <c r="H1464" s="601">
        <v>0</v>
      </c>
      <c r="I1464" s="601">
        <v>0.48</v>
      </c>
      <c r="J1464" s="601">
        <v>0.6</v>
      </c>
      <c r="K1464" s="601">
        <v>0.6</v>
      </c>
      <c r="L1464" s="601">
        <v>0.6</v>
      </c>
    </row>
    <row r="1465" spans="1:12" hidden="1">
      <c r="A1465" s="601" t="s">
        <v>3123</v>
      </c>
      <c r="B1465" s="601" t="e">
        <f t="shared" si="22"/>
        <v>#VALUE!</v>
      </c>
      <c r="C1465" s="601" t="e">
        <f>MID(Table3[[#This Row],[Statement Code]],FIND("- ",Table3[[#This Row],[Statement Code]])+2,100)</f>
        <v>#VALUE!</v>
      </c>
      <c r="D1465" s="602" t="s">
        <v>3138</v>
      </c>
      <c r="E1465" s="601" t="s">
        <v>3118</v>
      </c>
      <c r="F1465" s="601" t="s">
        <v>551</v>
      </c>
      <c r="G1465" s="601">
        <v>5.9989999999999997</v>
      </c>
      <c r="H1465" s="601">
        <v>1.663</v>
      </c>
      <c r="I1465" s="601">
        <v>2.8679999999999999</v>
      </c>
      <c r="J1465" s="601">
        <v>6.3879999999999999</v>
      </c>
      <c r="K1465" s="601">
        <v>5.4790000000000001</v>
      </c>
      <c r="L1465" s="601">
        <v>3.0190000000000001</v>
      </c>
    </row>
    <row r="1466" spans="1:12" hidden="1">
      <c r="A1466" s="601" t="s">
        <v>3121</v>
      </c>
      <c r="B1466" s="601" t="str">
        <f t="shared" si="22"/>
        <v xml:space="preserve">GAP </v>
      </c>
      <c r="C1466" s="601" t="str">
        <f>MID(Table3[[#This Row],[Statement Code]],FIND("- ",Table3[[#This Row],[Statement Code]])+2,100)</f>
        <v>12MTH FORWARD EPS</v>
      </c>
      <c r="D1466" s="602" t="s">
        <v>3122</v>
      </c>
      <c r="E1466" s="601" t="s">
        <v>3118</v>
      </c>
      <c r="F1466" s="601" t="s">
        <v>551</v>
      </c>
      <c r="G1466" s="601">
        <v>2.101</v>
      </c>
      <c r="H1466" s="601">
        <v>3.3000000000000002E-2</v>
      </c>
      <c r="I1466" s="601">
        <v>2.4129999999999998</v>
      </c>
      <c r="J1466" s="601">
        <v>0.38300000000000001</v>
      </c>
      <c r="K1466" s="601">
        <v>0.79700000000000004</v>
      </c>
      <c r="L1466" s="601">
        <v>1.9730000000000001</v>
      </c>
    </row>
    <row r="1467" spans="1:12" hidden="1">
      <c r="A1467" s="601" t="s">
        <v>3119</v>
      </c>
      <c r="B1467" s="601" t="str">
        <f t="shared" si="22"/>
        <v xml:space="preserve">GAP </v>
      </c>
      <c r="C1467" s="601" t="str">
        <f>MID(Table3[[#This Row],[Statement Code]],FIND("- ",Table3[[#This Row],[Statement Code]])+2,100)</f>
        <v>PER</v>
      </c>
      <c r="D1467" s="602" t="s">
        <v>3120</v>
      </c>
      <c r="E1467" s="601" t="s">
        <v>3118</v>
      </c>
      <c r="F1467" s="601" t="s">
        <v>551</v>
      </c>
      <c r="G1467" s="601">
        <v>7.1</v>
      </c>
      <c r="H1467" s="601" t="s">
        <v>23</v>
      </c>
      <c r="I1467" s="601">
        <v>14.7</v>
      </c>
      <c r="J1467" s="601" t="s">
        <v>23</v>
      </c>
      <c r="K1467" s="601">
        <v>35.299999999999997</v>
      </c>
      <c r="L1467" s="601">
        <v>10</v>
      </c>
    </row>
    <row r="1468" spans="1:12" hidden="1">
      <c r="A1468" s="601" t="s">
        <v>3116</v>
      </c>
      <c r="B1468" s="601" t="str">
        <f t="shared" si="22"/>
        <v xml:space="preserve">GAP </v>
      </c>
      <c r="C1468" s="601" t="str">
        <f>MID(Table3[[#This Row],[Statement Code]],FIND("- ",Table3[[#This Row],[Statement Code]])+2,100)</f>
        <v>MARKET VALUE</v>
      </c>
      <c r="D1468" s="602" t="s">
        <v>3117</v>
      </c>
      <c r="E1468" s="601" t="s">
        <v>3118</v>
      </c>
      <c r="F1468" s="601" t="s">
        <v>551</v>
      </c>
      <c r="G1468" s="601">
        <v>6741.63</v>
      </c>
      <c r="H1468" s="601">
        <v>6272.62</v>
      </c>
      <c r="I1468" s="601">
        <v>9158.16</v>
      </c>
      <c r="J1468" s="601">
        <v>3316.91</v>
      </c>
      <c r="K1468" s="601">
        <v>3746.89</v>
      </c>
      <c r="L1468" s="601">
        <v>7586.55</v>
      </c>
    </row>
    <row r="1469" spans="1:12" hidden="1">
      <c r="A1469" s="601" t="s">
        <v>3139</v>
      </c>
      <c r="B1469" s="601" t="str">
        <f t="shared" si="22"/>
        <v xml:space="preserve">GAP </v>
      </c>
      <c r="C1469" s="601" t="str">
        <f>MID(Table3[[#This Row],[Statement Code]],FIND("- ",Table3[[#This Row],[Statement Code]])+2,100)</f>
        <v>EARNINGS PER SHR</v>
      </c>
      <c r="D1469" s="602" t="s">
        <v>3140</v>
      </c>
      <c r="E1469" s="601" t="s">
        <v>3118</v>
      </c>
      <c r="F1469" s="601" t="s">
        <v>551</v>
      </c>
      <c r="G1469" s="601">
        <v>2.54</v>
      </c>
      <c r="H1469" s="601">
        <v>0</v>
      </c>
      <c r="I1469" s="601">
        <v>1.66</v>
      </c>
      <c r="J1469" s="601">
        <v>0</v>
      </c>
      <c r="K1469" s="601">
        <v>0.28999999999999998</v>
      </c>
      <c r="L1469" s="601">
        <v>2.02</v>
      </c>
    </row>
    <row r="1470" spans="1:12" hidden="1">
      <c r="A1470" s="601" t="s">
        <v>3123</v>
      </c>
      <c r="B1470" s="601" t="e">
        <f t="shared" si="22"/>
        <v>#VALUE!</v>
      </c>
      <c r="C1470" s="601" t="e">
        <f>MID(Table3[[#This Row],[Statement Code]],FIND("- ",Table3[[#This Row],[Statement Code]])+2,100)</f>
        <v>#VALUE!</v>
      </c>
      <c r="D1470" s="602" t="s">
        <v>3141</v>
      </c>
      <c r="E1470" s="601" t="s">
        <v>3118</v>
      </c>
      <c r="F1470" s="601" t="s">
        <v>23</v>
      </c>
      <c r="G1470" s="601">
        <v>1.3396999999999999</v>
      </c>
      <c r="H1470" s="601">
        <v>1.7997000000000001</v>
      </c>
      <c r="I1470" s="601">
        <v>1.7390000000000001</v>
      </c>
      <c r="J1470" s="601">
        <v>1.8214999999999999</v>
      </c>
      <c r="K1470" s="601">
        <v>1.8322000000000001</v>
      </c>
      <c r="L1470" s="601">
        <v>1.9421999999999999</v>
      </c>
    </row>
    <row r="1471" spans="1:12" hidden="1">
      <c r="A1471" s="601" t="s">
        <v>3123</v>
      </c>
      <c r="B1471" s="601" t="e">
        <f t="shared" si="22"/>
        <v>#VALUE!</v>
      </c>
      <c r="C1471" s="601" t="e">
        <f>MID(Table3[[#This Row],[Statement Code]],FIND("- ",Table3[[#This Row],[Statement Code]])+2,100)</f>
        <v>#VALUE!</v>
      </c>
      <c r="D1471" s="602" t="s">
        <v>3142</v>
      </c>
      <c r="E1471" s="601" t="s">
        <v>3118</v>
      </c>
      <c r="F1471" s="601" t="s">
        <v>23</v>
      </c>
      <c r="G1471" s="601">
        <v>0.35420000000000001</v>
      </c>
      <c r="H1471" s="601">
        <v>0.52500000000000002</v>
      </c>
      <c r="I1471" s="601">
        <v>0.50790000000000002</v>
      </c>
      <c r="J1471" s="601">
        <v>0.56130000000000002</v>
      </c>
      <c r="K1471" s="601">
        <v>0.59989999999999999</v>
      </c>
      <c r="L1471" s="601">
        <v>0.64670000000000005</v>
      </c>
    </row>
    <row r="1472" spans="1:12" hidden="1">
      <c r="A1472" s="601" t="s">
        <v>3143</v>
      </c>
      <c r="B1472" s="601" t="str">
        <f t="shared" si="22"/>
        <v xml:space="preserve">GAP </v>
      </c>
      <c r="C1472" s="601" t="str">
        <f>MID(Table3[[#This Row],[Statement Code]],FIND("- ",Table3[[#This Row],[Statement Code]])+2,100)</f>
        <v>ACCOUNTS PAYABLE</v>
      </c>
      <c r="D1472" s="602" t="s">
        <v>3144</v>
      </c>
      <c r="E1472" s="601" t="s">
        <v>3118</v>
      </c>
      <c r="F1472" s="601" t="s">
        <v>551</v>
      </c>
      <c r="G1472" s="601">
        <v>1174000</v>
      </c>
      <c r="H1472" s="601">
        <v>1743000</v>
      </c>
      <c r="I1472" s="601">
        <v>1951000</v>
      </c>
      <c r="J1472" s="601">
        <v>1320000</v>
      </c>
      <c r="K1472" s="601">
        <v>1349000</v>
      </c>
      <c r="L1472" s="601" t="s">
        <v>23</v>
      </c>
    </row>
    <row r="1473" spans="1:12" hidden="1">
      <c r="A1473" s="601" t="s">
        <v>3145</v>
      </c>
      <c r="B1473" s="601" t="str">
        <f t="shared" si="22"/>
        <v xml:space="preserve">GAP </v>
      </c>
      <c r="C1473" s="601" t="str">
        <f>MID(Table3[[#This Row],[Statement Code]],FIND("- ",Table3[[#This Row],[Statement Code]])+2,100)</f>
        <v>AMORTIZATION-INTANGIBLE ASSETS</v>
      </c>
      <c r="D1473" s="602" t="s">
        <v>3146</v>
      </c>
      <c r="E1473" s="601" t="s">
        <v>3118</v>
      </c>
      <c r="F1473" s="601" t="s">
        <v>551</v>
      </c>
      <c r="G1473" s="601">
        <v>3000</v>
      </c>
      <c r="H1473" s="601">
        <v>2000</v>
      </c>
      <c r="I1473" s="601">
        <v>2000</v>
      </c>
      <c r="J1473" s="601">
        <v>9000</v>
      </c>
      <c r="K1473" s="601">
        <v>9000</v>
      </c>
      <c r="L1473" s="601" t="s">
        <v>23</v>
      </c>
    </row>
    <row r="1474" spans="1:12" hidden="1">
      <c r="A1474" s="601" t="s">
        <v>3147</v>
      </c>
      <c r="B1474" s="601" t="str">
        <f t="shared" si="22"/>
        <v xml:space="preserve">GAP </v>
      </c>
      <c r="C1474" s="601" t="str">
        <f>MID(Table3[[#This Row],[Statement Code]],FIND("- ",Table3[[#This Row],[Statement Code]])+2,100)</f>
        <v>AMORTIZATION OF INTANGIBLES</v>
      </c>
      <c r="D1474" s="602" t="s">
        <v>3148</v>
      </c>
      <c r="E1474" s="601" t="s">
        <v>3118</v>
      </c>
      <c r="F1474" s="601" t="s">
        <v>551</v>
      </c>
      <c r="G1474" s="601">
        <v>3000</v>
      </c>
      <c r="H1474" s="601">
        <v>2000</v>
      </c>
      <c r="I1474" s="601">
        <v>2000</v>
      </c>
      <c r="J1474" s="601">
        <v>9000</v>
      </c>
      <c r="K1474" s="601">
        <v>9000</v>
      </c>
      <c r="L1474" s="601" t="s">
        <v>23</v>
      </c>
    </row>
    <row r="1475" spans="1:12" hidden="1">
      <c r="A1475" s="601" t="s">
        <v>3149</v>
      </c>
      <c r="B1475" s="601" t="str">
        <f t="shared" ref="B1475:B1538" si="23">LEFT(A1475,FIND(" ",A1475))</f>
        <v xml:space="preserve">GAP </v>
      </c>
      <c r="C1475" s="601" t="str">
        <f>MID(Table3[[#This Row],[Statement Code]],FIND("- ",Table3[[#This Row],[Statement Code]])+2,100)</f>
        <v>BOOK VALUE-OUT SHARES-FISCAL</v>
      </c>
      <c r="D1475" s="602" t="s">
        <v>3150</v>
      </c>
      <c r="E1475" s="601" t="s">
        <v>3118</v>
      </c>
      <c r="F1475" s="601" t="s">
        <v>551</v>
      </c>
      <c r="G1475" s="601">
        <v>8.9380000000000006</v>
      </c>
      <c r="H1475" s="601">
        <v>6.9889999999999999</v>
      </c>
      <c r="I1475" s="601">
        <v>7.3369999999999997</v>
      </c>
      <c r="J1475" s="601">
        <v>6.101</v>
      </c>
      <c r="K1475" s="601">
        <v>6.976</v>
      </c>
      <c r="L1475" s="601" t="s">
        <v>23</v>
      </c>
    </row>
    <row r="1476" spans="1:12" hidden="1">
      <c r="A1476" s="601" t="s">
        <v>3151</v>
      </c>
      <c r="B1476" s="601" t="str">
        <f t="shared" si="23"/>
        <v xml:space="preserve">GAP </v>
      </c>
      <c r="C1476" s="601" t="str">
        <f>MID(Table3[[#This Row],[Statement Code]],FIND("- ",Table3[[#This Row],[Statement Code]])+2,100)</f>
        <v>BOOK VALUE PER SHARE</v>
      </c>
      <c r="D1476" s="602" t="s">
        <v>3152</v>
      </c>
      <c r="E1476" s="601" t="s">
        <v>3118</v>
      </c>
      <c r="F1476" s="601" t="s">
        <v>551</v>
      </c>
      <c r="G1476" s="601">
        <v>8.9380000000000006</v>
      </c>
      <c r="H1476" s="601">
        <v>6.9889999999999999</v>
      </c>
      <c r="I1476" s="601">
        <v>7.3369999999999997</v>
      </c>
      <c r="J1476" s="601">
        <v>6.101</v>
      </c>
      <c r="K1476" s="601">
        <v>6.976</v>
      </c>
      <c r="L1476" s="601" t="s">
        <v>23</v>
      </c>
    </row>
    <row r="1477" spans="1:12">
      <c r="A1477" s="601" t="s">
        <v>3153</v>
      </c>
      <c r="B1477" s="601" t="str">
        <f t="shared" si="23"/>
        <v xml:space="preserve">GAP </v>
      </c>
      <c r="C1477" s="601" t="str">
        <f>MID(Table3[[#This Row],[Statement Code]],FIND("- ",Table3[[#This Row],[Statement Code]])+2,100)</f>
        <v>CAPITAL EXPENDITURES</v>
      </c>
      <c r="D1477" s="602" t="s">
        <v>3154</v>
      </c>
      <c r="E1477" s="601" t="s">
        <v>3118</v>
      </c>
      <c r="F1477" s="601" t="s">
        <v>551</v>
      </c>
      <c r="G1477" s="601">
        <v>1045000</v>
      </c>
      <c r="H1477" s="601">
        <v>392000</v>
      </c>
      <c r="I1477" s="601">
        <v>694000</v>
      </c>
      <c r="J1477" s="601">
        <v>685000</v>
      </c>
      <c r="K1477" s="601">
        <v>420000</v>
      </c>
      <c r="L1477" s="601" t="s">
        <v>23</v>
      </c>
    </row>
    <row r="1478" spans="1:12" hidden="1">
      <c r="A1478" s="601" t="s">
        <v>3155</v>
      </c>
      <c r="B1478" s="601" t="str">
        <f t="shared" si="23"/>
        <v xml:space="preserve">GAP </v>
      </c>
      <c r="C1478" s="601" t="str">
        <f>MID(Table3[[#This Row],[Statement Code]],FIND("- ",Table3[[#This Row],[Statement Code]])+2,100)</f>
        <v>CASH</v>
      </c>
      <c r="D1478" s="602" t="s">
        <v>3156</v>
      </c>
      <c r="E1478" s="601" t="s">
        <v>3118</v>
      </c>
      <c r="F1478" s="601" t="s">
        <v>551</v>
      </c>
      <c r="G1478" s="601">
        <v>1364000</v>
      </c>
      <c r="H1478" s="601">
        <v>1992000</v>
      </c>
      <c r="I1478" s="601">
        <v>877000</v>
      </c>
      <c r="J1478" s="601">
        <v>1215000</v>
      </c>
      <c r="K1478" s="601">
        <v>1873000</v>
      </c>
      <c r="L1478" s="601" t="s">
        <v>23</v>
      </c>
    </row>
    <row r="1479" spans="1:12" hidden="1">
      <c r="A1479" s="601" t="s">
        <v>3157</v>
      </c>
      <c r="B1479" s="601" t="str">
        <f t="shared" si="23"/>
        <v xml:space="preserve">GAP </v>
      </c>
      <c r="C1479" s="601" t="str">
        <f>MID(Table3[[#This Row],[Statement Code]],FIND("- ",Table3[[#This Row],[Statement Code]])+2,100)</f>
        <v>CASH - GENERIC</v>
      </c>
      <c r="D1479" s="602" t="s">
        <v>3158</v>
      </c>
      <c r="E1479" s="601" t="s">
        <v>3118</v>
      </c>
      <c r="F1479" s="601" t="s">
        <v>551</v>
      </c>
      <c r="G1479" s="601">
        <v>1664000</v>
      </c>
      <c r="H1479" s="601">
        <v>2407000</v>
      </c>
      <c r="I1479" s="601">
        <v>893000</v>
      </c>
      <c r="J1479" s="601">
        <v>1226000</v>
      </c>
      <c r="K1479" s="601">
        <v>1880000</v>
      </c>
      <c r="L1479" s="601" t="s">
        <v>23</v>
      </c>
    </row>
    <row r="1480" spans="1:12">
      <c r="A1480" s="601" t="s">
        <v>3159</v>
      </c>
      <c r="B1480" s="601" t="str">
        <f t="shared" si="23"/>
        <v xml:space="preserve">GAP </v>
      </c>
      <c r="C1480" s="601" t="str">
        <f>MID(Table3[[#This Row],[Statement Code]],FIND("- ",Table3[[#This Row],[Statement Code]])+2,100)</f>
        <v>CASH &amp; SHORT TERM INVESTMENTS</v>
      </c>
      <c r="D1480" s="602" t="s">
        <v>3160</v>
      </c>
      <c r="E1480" s="601" t="s">
        <v>3118</v>
      </c>
      <c r="F1480" s="601" t="s">
        <v>551</v>
      </c>
      <c r="G1480" s="601">
        <v>1664000</v>
      </c>
      <c r="H1480" s="601">
        <v>2407000</v>
      </c>
      <c r="I1480" s="601">
        <v>893000</v>
      </c>
      <c r="J1480" s="601">
        <v>1226000</v>
      </c>
      <c r="K1480" s="601">
        <v>1880000</v>
      </c>
      <c r="L1480" s="601" t="s">
        <v>23</v>
      </c>
    </row>
    <row r="1481" spans="1:12" hidden="1">
      <c r="A1481" s="601" t="s">
        <v>3161</v>
      </c>
      <c r="B1481" s="601" t="str">
        <f t="shared" si="23"/>
        <v xml:space="preserve">GAP </v>
      </c>
      <c r="C1481" s="601" t="str">
        <f>MID(Table3[[#This Row],[Statement Code]],FIND("- ",Table3[[#This Row],[Statement Code]])+2,100)</f>
        <v>CASH DIVIDENDS PAID - TOTAL</v>
      </c>
      <c r="D1481" s="602" t="s">
        <v>3162</v>
      </c>
      <c r="E1481" s="601" t="s">
        <v>3118</v>
      </c>
      <c r="F1481" s="601" t="s">
        <v>551</v>
      </c>
      <c r="G1481" s="601">
        <v>364000</v>
      </c>
      <c r="H1481" s="601">
        <v>0</v>
      </c>
      <c r="I1481" s="601">
        <v>226000</v>
      </c>
      <c r="J1481" s="601">
        <v>220000</v>
      </c>
      <c r="K1481" s="601">
        <v>222000</v>
      </c>
      <c r="L1481" s="601" t="s">
        <v>23</v>
      </c>
    </row>
    <row r="1482" spans="1:12" hidden="1">
      <c r="A1482" s="601" t="s">
        <v>3163</v>
      </c>
      <c r="B1482" s="601" t="str">
        <f t="shared" si="23"/>
        <v xml:space="preserve">GAP </v>
      </c>
      <c r="C1482" s="601" t="str">
        <f>MID(Table3[[#This Row],[Statement Code]],FIND("- ",Table3[[#This Row],[Statement Code]])+2,100)</f>
        <v>CASH FLOW PER SHARE</v>
      </c>
      <c r="D1482" s="602" t="s">
        <v>3164</v>
      </c>
      <c r="E1482" s="601" t="s">
        <v>3118</v>
      </c>
      <c r="F1482" s="601" t="s">
        <v>551</v>
      </c>
      <c r="G1482" s="601">
        <v>2.9129999999999998</v>
      </c>
      <c r="H1482" s="601">
        <v>1.0940000000000001</v>
      </c>
      <c r="I1482" s="601">
        <v>3.3319999999999999</v>
      </c>
      <c r="J1482" s="601">
        <v>1.117</v>
      </c>
      <c r="K1482" s="601">
        <v>2.7450000000000001</v>
      </c>
      <c r="L1482" s="601" t="s">
        <v>23</v>
      </c>
    </row>
    <row r="1483" spans="1:12" hidden="1">
      <c r="A1483" s="601" t="s">
        <v>3165</v>
      </c>
      <c r="B1483" s="601" t="str">
        <f t="shared" si="23"/>
        <v xml:space="preserve">GAP </v>
      </c>
      <c r="C1483" s="601" t="str">
        <f>MID(Table3[[#This Row],[Statement Code]],FIND("- ",Table3[[#This Row],[Statement Code]])+2,100)</f>
        <v>CASH FLOW PER SHARE - FIS YR</v>
      </c>
      <c r="D1483" s="602" t="s">
        <v>3166</v>
      </c>
      <c r="E1483" s="601" t="s">
        <v>3118</v>
      </c>
      <c r="F1483" s="601" t="s">
        <v>551</v>
      </c>
      <c r="G1483" s="601">
        <v>2.9129999999999998</v>
      </c>
      <c r="H1483" s="601">
        <v>1.0940000000000001</v>
      </c>
      <c r="I1483" s="601">
        <v>3.3319999999999999</v>
      </c>
      <c r="J1483" s="601">
        <v>1.117</v>
      </c>
      <c r="K1483" s="601">
        <v>2.7450000000000001</v>
      </c>
      <c r="L1483" s="601" t="s">
        <v>23</v>
      </c>
    </row>
    <row r="1484" spans="1:12" hidden="1">
      <c r="A1484" s="601" t="s">
        <v>3167</v>
      </c>
      <c r="B1484" s="601" t="str">
        <f t="shared" si="23"/>
        <v xml:space="preserve">GAP </v>
      </c>
      <c r="C1484" s="601" t="str">
        <f>MID(Table3[[#This Row],[Statement Code]],FIND("- ",Table3[[#This Row],[Statement Code]])+2,100)</f>
        <v>COMMON DIVIDENDS (CASH)</v>
      </c>
      <c r="D1484" s="602" t="s">
        <v>3168</v>
      </c>
      <c r="E1484" s="601" t="s">
        <v>3118</v>
      </c>
      <c r="F1484" s="601" t="s">
        <v>551</v>
      </c>
      <c r="G1484" s="601">
        <v>364000</v>
      </c>
      <c r="H1484" s="601">
        <v>0</v>
      </c>
      <c r="I1484" s="601">
        <v>226000</v>
      </c>
      <c r="J1484" s="601">
        <v>220000</v>
      </c>
      <c r="K1484" s="601">
        <v>222000</v>
      </c>
      <c r="L1484" s="601" t="s">
        <v>23</v>
      </c>
    </row>
    <row r="1485" spans="1:12" hidden="1">
      <c r="A1485" s="601" t="s">
        <v>3169</v>
      </c>
      <c r="B1485" s="601" t="str">
        <f t="shared" si="23"/>
        <v xml:space="preserve">GAP </v>
      </c>
      <c r="C1485" s="601" t="str">
        <f>MID(Table3[[#This Row],[Statement Code]],FIND("- ",Table3[[#This Row],[Statement Code]])+2,100)</f>
        <v>COMMON SHAREHOLDERS' EQUITY</v>
      </c>
      <c r="D1485" s="602" t="s">
        <v>3170</v>
      </c>
      <c r="E1485" s="601" t="s">
        <v>3118</v>
      </c>
      <c r="F1485" s="601" t="s">
        <v>551</v>
      </c>
      <c r="G1485" s="601">
        <v>3316000</v>
      </c>
      <c r="H1485" s="601">
        <v>2614000</v>
      </c>
      <c r="I1485" s="601">
        <v>2722000</v>
      </c>
      <c r="J1485" s="601">
        <v>2233000</v>
      </c>
      <c r="K1485" s="601">
        <v>2595000</v>
      </c>
      <c r="L1485" s="601" t="s">
        <v>23</v>
      </c>
    </row>
    <row r="1486" spans="1:12">
      <c r="A1486" s="601" t="s">
        <v>3171</v>
      </c>
      <c r="B1486" s="601" t="str">
        <f t="shared" si="23"/>
        <v xml:space="preserve">GAP </v>
      </c>
      <c r="C1486" s="601" t="str">
        <f>MID(Table3[[#This Row],[Statement Code]],FIND("- ",Table3[[#This Row],[Statement Code]])+2,100)</f>
        <v>COMMON STOCK</v>
      </c>
      <c r="D1486" s="602" t="s">
        <v>3172</v>
      </c>
      <c r="E1486" s="601" t="s">
        <v>3118</v>
      </c>
      <c r="F1486" s="601" t="s">
        <v>551</v>
      </c>
      <c r="G1486" s="601">
        <v>19000</v>
      </c>
      <c r="H1486" s="601">
        <v>19000</v>
      </c>
      <c r="I1486" s="601">
        <v>19000</v>
      </c>
      <c r="J1486" s="601">
        <v>18000</v>
      </c>
      <c r="K1486" s="601">
        <v>19000</v>
      </c>
      <c r="L1486" s="601" t="s">
        <v>23</v>
      </c>
    </row>
    <row r="1487" spans="1:12" hidden="1">
      <c r="A1487" s="601" t="s">
        <v>3173</v>
      </c>
      <c r="B1487" s="601" t="str">
        <f t="shared" si="23"/>
        <v xml:space="preserve">GAP </v>
      </c>
      <c r="C1487" s="601" t="str">
        <f>MID(Table3[[#This Row],[Statement Code]],FIND("- ",Table3[[#This Row],[Statement Code]])+2,100)</f>
        <v>COST OF GOODS SOLD (EXCL DEP)</v>
      </c>
      <c r="D1487" s="602" t="s">
        <v>3174</v>
      </c>
      <c r="E1487" s="601" t="s">
        <v>3118</v>
      </c>
      <c r="F1487" s="601" t="s">
        <v>551</v>
      </c>
      <c r="G1487" s="601">
        <v>9722000</v>
      </c>
      <c r="H1487" s="601">
        <v>8588000</v>
      </c>
      <c r="I1487" s="601">
        <v>9529000</v>
      </c>
      <c r="J1487" s="601">
        <v>9717000</v>
      </c>
      <c r="K1487" s="601">
        <v>8588000</v>
      </c>
      <c r="L1487" s="601" t="s">
        <v>23</v>
      </c>
    </row>
    <row r="1488" spans="1:12">
      <c r="A1488" s="601" t="s">
        <v>3175</v>
      </c>
      <c r="B1488" s="601" t="str">
        <f t="shared" si="23"/>
        <v xml:space="preserve">GAP </v>
      </c>
      <c r="C1488" s="601" t="str">
        <f>MID(Table3[[#This Row],[Statement Code]],FIND("- ",Table3[[#This Row],[Statement Code]])+2,100)</f>
        <v>CURRENT ASSETS - TOTAL</v>
      </c>
      <c r="D1488" s="602" t="s">
        <v>3176</v>
      </c>
      <c r="E1488" s="601" t="s">
        <v>3118</v>
      </c>
      <c r="F1488" s="601" t="s">
        <v>551</v>
      </c>
      <c r="G1488" s="601">
        <v>4516000</v>
      </c>
      <c r="H1488" s="601">
        <v>6008000</v>
      </c>
      <c r="I1488" s="601">
        <v>5165000</v>
      </c>
      <c r="J1488" s="601">
        <v>4617000</v>
      </c>
      <c r="K1488" s="601">
        <v>4395000</v>
      </c>
      <c r="L1488" s="601" t="s">
        <v>23</v>
      </c>
    </row>
    <row r="1489" spans="1:12">
      <c r="A1489" s="601" t="s">
        <v>3177</v>
      </c>
      <c r="B1489" s="601" t="str">
        <f t="shared" si="23"/>
        <v xml:space="preserve">GAP </v>
      </c>
      <c r="C1489" s="601" t="str">
        <f>MID(Table3[[#This Row],[Statement Code]],FIND("- ",Table3[[#This Row],[Statement Code]])+2,100)</f>
        <v>CURRENT LIABILITIES-TOTAL</v>
      </c>
      <c r="D1489" s="602" t="s">
        <v>3178</v>
      </c>
      <c r="E1489" s="601" t="s">
        <v>3118</v>
      </c>
      <c r="F1489" s="601" t="s">
        <v>551</v>
      </c>
      <c r="G1489" s="601">
        <v>3209000</v>
      </c>
      <c r="H1489" s="601">
        <v>3884000</v>
      </c>
      <c r="I1489" s="601">
        <v>4077000</v>
      </c>
      <c r="J1489" s="601">
        <v>3256000</v>
      </c>
      <c r="K1489" s="601">
        <v>3096000</v>
      </c>
      <c r="L1489" s="601" t="s">
        <v>23</v>
      </c>
    </row>
    <row r="1490" spans="1:12" hidden="1">
      <c r="A1490" s="601" t="s">
        <v>3179</v>
      </c>
      <c r="B1490" s="601" t="str">
        <f t="shared" si="23"/>
        <v xml:space="preserve">GAP </v>
      </c>
      <c r="C1490" s="601" t="str">
        <f>MID(Table3[[#This Row],[Statement Code]],FIND("- ",Table3[[#This Row],[Statement Code]])+2,100)</f>
        <v>DEPRECIATION AND DEPLETION</v>
      </c>
      <c r="D1490" s="602" t="s">
        <v>3180</v>
      </c>
      <c r="E1490" s="601" t="s">
        <v>3118</v>
      </c>
      <c r="F1490" s="601" t="s">
        <v>551</v>
      </c>
      <c r="G1490" s="601">
        <v>554000</v>
      </c>
      <c r="H1490" s="601">
        <v>505000</v>
      </c>
      <c r="I1490" s="601">
        <v>502000</v>
      </c>
      <c r="J1490" s="601">
        <v>531000</v>
      </c>
      <c r="K1490" s="601">
        <v>513000</v>
      </c>
      <c r="L1490" s="601" t="s">
        <v>23</v>
      </c>
    </row>
    <row r="1491" spans="1:12">
      <c r="A1491" s="601" t="s">
        <v>3181</v>
      </c>
      <c r="B1491" s="601" t="str">
        <f t="shared" si="23"/>
        <v xml:space="preserve">GAP </v>
      </c>
      <c r="C1491" s="601" t="str">
        <f>MID(Table3[[#This Row],[Statement Code]],FIND("- ",Table3[[#This Row],[Statement Code]])+2,100)</f>
        <v>DEPRECIATION/DEPLETION/AMORT</v>
      </c>
      <c r="D1491" s="602" t="s">
        <v>3182</v>
      </c>
      <c r="E1491" s="601" t="s">
        <v>3118</v>
      </c>
      <c r="F1491" s="601" t="s">
        <v>551</v>
      </c>
      <c r="G1491" s="601">
        <v>557000</v>
      </c>
      <c r="H1491" s="601">
        <v>507000</v>
      </c>
      <c r="I1491" s="601">
        <v>504000</v>
      </c>
      <c r="J1491" s="601">
        <v>540000</v>
      </c>
      <c r="K1491" s="601">
        <v>522000</v>
      </c>
      <c r="L1491" s="601" t="s">
        <v>23</v>
      </c>
    </row>
    <row r="1492" spans="1:12" hidden="1">
      <c r="A1492" s="601" t="s">
        <v>3183</v>
      </c>
      <c r="B1492" s="601" t="str">
        <f t="shared" si="23"/>
        <v xml:space="preserve">GAP </v>
      </c>
      <c r="C1492" s="601" t="str">
        <f>MID(Table3[[#This Row],[Statement Code]],FIND("- ",Table3[[#This Row],[Statement Code]])+2,100)</f>
        <v>DIVIDENDS PER SHARE</v>
      </c>
      <c r="D1492" s="602" t="s">
        <v>3184</v>
      </c>
      <c r="E1492" s="601" t="s">
        <v>3118</v>
      </c>
      <c r="F1492" s="601" t="s">
        <v>551</v>
      </c>
      <c r="G1492" s="601">
        <v>0.97</v>
      </c>
      <c r="H1492" s="601">
        <v>0.24199999999999999</v>
      </c>
      <c r="I1492" s="601">
        <v>0.36</v>
      </c>
      <c r="J1492" s="601">
        <v>0.6</v>
      </c>
      <c r="K1492" s="601">
        <v>0.6</v>
      </c>
      <c r="L1492" s="601" t="s">
        <v>23</v>
      </c>
    </row>
    <row r="1493" spans="1:12" hidden="1">
      <c r="A1493" s="601" t="s">
        <v>3185</v>
      </c>
      <c r="B1493" s="601" t="str">
        <f t="shared" si="23"/>
        <v xml:space="preserve">GAP </v>
      </c>
      <c r="C1493" s="601" t="str">
        <f>MID(Table3[[#This Row],[Statement Code]],FIND("- ",Table3[[#This Row],[Statement Code]])+2,100)</f>
        <v>DIVIDENDS PER SHARE - FISCAL</v>
      </c>
      <c r="D1493" s="602" t="s">
        <v>3186</v>
      </c>
      <c r="E1493" s="601" t="s">
        <v>3118</v>
      </c>
      <c r="F1493" s="601" t="s">
        <v>551</v>
      </c>
      <c r="G1493" s="601">
        <v>0.97</v>
      </c>
      <c r="H1493" s="601">
        <v>0.24199999999999999</v>
      </c>
      <c r="I1493" s="601">
        <v>0.36</v>
      </c>
      <c r="J1493" s="601">
        <v>0.6</v>
      </c>
      <c r="K1493" s="601">
        <v>0.6</v>
      </c>
      <c r="L1493" s="601" t="s">
        <v>23</v>
      </c>
    </row>
    <row r="1494" spans="1:12">
      <c r="A1494" s="601" t="s">
        <v>3187</v>
      </c>
      <c r="B1494" s="601" t="str">
        <f t="shared" si="23"/>
        <v xml:space="preserve">GAP </v>
      </c>
      <c r="C1494" s="601" t="str">
        <f>MID(Table3[[#This Row],[Statement Code]],FIND("- ",Table3[[#This Row],[Statement Code]])+2,100)</f>
        <v>EARNINGS BEF INTEREST &amp; TAXES</v>
      </c>
      <c r="D1494" s="602" t="s">
        <v>3188</v>
      </c>
      <c r="E1494" s="601" t="s">
        <v>3118</v>
      </c>
      <c r="F1494" s="601" t="s">
        <v>551</v>
      </c>
      <c r="G1494" s="601">
        <v>604000</v>
      </c>
      <c r="H1494" s="601">
        <v>-910000</v>
      </c>
      <c r="I1494" s="601">
        <v>490000</v>
      </c>
      <c r="J1494" s="601">
        <v>-51000</v>
      </c>
      <c r="K1494" s="601">
        <v>646000</v>
      </c>
      <c r="L1494" s="601" t="s">
        <v>23</v>
      </c>
    </row>
    <row r="1495" spans="1:12" hidden="1">
      <c r="A1495" s="601" t="s">
        <v>3189</v>
      </c>
      <c r="B1495" s="601" t="str">
        <f t="shared" si="23"/>
        <v xml:space="preserve">GAP </v>
      </c>
      <c r="C1495" s="601" t="str">
        <f>MID(Table3[[#This Row],[Statement Code]],FIND("- ",Table3[[#This Row],[Statement Code]])+2,100)</f>
        <v>EBIT &amp; DEPRECIATION</v>
      </c>
      <c r="D1495" s="602" t="s">
        <v>3190</v>
      </c>
      <c r="E1495" s="601" t="s">
        <v>3118</v>
      </c>
      <c r="F1495" s="601" t="s">
        <v>551</v>
      </c>
      <c r="G1495" s="601">
        <v>1161000</v>
      </c>
      <c r="H1495" s="601">
        <v>-403000</v>
      </c>
      <c r="I1495" s="601">
        <v>994000</v>
      </c>
      <c r="J1495" s="601">
        <v>489000</v>
      </c>
      <c r="K1495" s="601">
        <v>1168000</v>
      </c>
      <c r="L1495" s="601" t="s">
        <v>23</v>
      </c>
    </row>
    <row r="1496" spans="1:12" hidden="1">
      <c r="A1496" s="601" t="s">
        <v>3191</v>
      </c>
      <c r="B1496" s="601" t="str">
        <f t="shared" si="23"/>
        <v xml:space="preserve">GAP </v>
      </c>
      <c r="C1496" s="601" t="str">
        <f>MID(Table3[[#This Row],[Statement Code]],FIND("- ",Table3[[#This Row],[Statement Code]])+2,100)</f>
        <v>EARNINGS PER SHARE</v>
      </c>
      <c r="D1496" s="602" t="s">
        <v>3192</v>
      </c>
      <c r="E1496" s="601" t="s">
        <v>3118</v>
      </c>
      <c r="F1496" s="601" t="s">
        <v>551</v>
      </c>
      <c r="G1496" s="601">
        <v>1.008</v>
      </c>
      <c r="H1496" s="601">
        <v>-2.1040000000000001</v>
      </c>
      <c r="I1496" s="601">
        <v>0.621</v>
      </c>
      <c r="J1496" s="601">
        <v>-0.55000000000000004</v>
      </c>
      <c r="K1496" s="601">
        <v>1.335</v>
      </c>
      <c r="L1496" s="601" t="s">
        <v>23</v>
      </c>
    </row>
    <row r="1497" spans="1:12" hidden="1">
      <c r="A1497" s="601" t="s">
        <v>3193</v>
      </c>
      <c r="B1497" s="601" t="str">
        <f t="shared" si="23"/>
        <v xml:space="preserve">GAP </v>
      </c>
      <c r="C1497" s="601" t="str">
        <f>MID(Table3[[#This Row],[Statement Code]],FIND("- ",Table3[[#This Row],[Statement Code]])+2,100)</f>
        <v>FISCAL EPS-FULLY DILUTED-YR</v>
      </c>
      <c r="D1497" s="602" t="s">
        <v>3194</v>
      </c>
      <c r="E1497" s="601" t="s">
        <v>3118</v>
      </c>
      <c r="F1497" s="601" t="s">
        <v>551</v>
      </c>
      <c r="G1497" s="601">
        <v>1.008</v>
      </c>
      <c r="H1497" s="601">
        <v>-2.1040000000000001</v>
      </c>
      <c r="I1497" s="601">
        <v>0.621</v>
      </c>
      <c r="J1497" s="601">
        <v>-0.55000000000000004</v>
      </c>
      <c r="K1497" s="601">
        <v>1.335</v>
      </c>
      <c r="L1497" s="601" t="s">
        <v>23</v>
      </c>
    </row>
    <row r="1498" spans="1:12" hidden="1">
      <c r="A1498" s="601" t="s">
        <v>3195</v>
      </c>
      <c r="B1498" s="601" t="str">
        <f t="shared" si="23"/>
        <v xml:space="preserve">GAP </v>
      </c>
      <c r="C1498" s="601" t="str">
        <f>MID(Table3[[#This Row],[Statement Code]],FIND("- ",Table3[[#This Row],[Statement Code]])+2,100)</f>
        <v>ENTERPRISE VALUE</v>
      </c>
      <c r="D1498" s="602" t="s">
        <v>3196</v>
      </c>
      <c r="E1498" s="601" t="s">
        <v>3118</v>
      </c>
      <c r="F1498" s="601" t="s">
        <v>551</v>
      </c>
      <c r="G1498" s="601">
        <v>6044110</v>
      </c>
      <c r="H1498" s="601">
        <v>7382500</v>
      </c>
      <c r="I1498" s="601">
        <v>7183670</v>
      </c>
      <c r="J1498" s="601">
        <v>5441200</v>
      </c>
      <c r="K1498" s="601">
        <v>6977320</v>
      </c>
      <c r="L1498" s="601" t="s">
        <v>23</v>
      </c>
    </row>
    <row r="1499" spans="1:12">
      <c r="A1499" s="601" t="s">
        <v>3197</v>
      </c>
      <c r="B1499" s="601" t="str">
        <f t="shared" si="23"/>
        <v xml:space="preserve">GAP </v>
      </c>
      <c r="C1499" s="601" t="str">
        <f>MID(Table3[[#This Row],[Statement Code]],FIND("- ",Table3[[#This Row],[Statement Code]])+2,100)</f>
        <v>GROSS INCOME</v>
      </c>
      <c r="D1499" s="602" t="s">
        <v>3198</v>
      </c>
      <c r="E1499" s="601" t="s">
        <v>3118</v>
      </c>
      <c r="F1499" s="601" t="s">
        <v>551</v>
      </c>
      <c r="G1499" s="601">
        <v>6104000</v>
      </c>
      <c r="H1499" s="601">
        <v>4705000</v>
      </c>
      <c r="I1499" s="601">
        <v>6637000</v>
      </c>
      <c r="J1499" s="601">
        <v>5359000</v>
      </c>
      <c r="K1499" s="601">
        <v>5779000</v>
      </c>
      <c r="L1499" s="601" t="s">
        <v>23</v>
      </c>
    </row>
    <row r="1500" spans="1:12" hidden="1">
      <c r="A1500" s="601" t="s">
        <v>3199</v>
      </c>
      <c r="B1500" s="601" t="str">
        <f t="shared" si="23"/>
        <v xml:space="preserve">GAP </v>
      </c>
      <c r="C1500" s="601" t="str">
        <f>MID(Table3[[#This Row],[Statement Code]],FIND("- ",Table3[[#This Row],[Statement Code]])+2,100)</f>
        <v>IMPAIRMENT- OTHER INTANGIBLES</v>
      </c>
      <c r="D1500" s="602" t="s">
        <v>3200</v>
      </c>
      <c r="E1500" s="601" t="s">
        <v>3118</v>
      </c>
      <c r="F1500" s="601" t="s">
        <v>551</v>
      </c>
      <c r="G1500" s="601" t="s">
        <v>23</v>
      </c>
      <c r="H1500" s="601">
        <v>31000</v>
      </c>
      <c r="I1500" s="601" t="s">
        <v>23</v>
      </c>
      <c r="J1500" s="601" t="s">
        <v>23</v>
      </c>
      <c r="K1500" s="601" t="s">
        <v>23</v>
      </c>
      <c r="L1500" s="601" t="s">
        <v>23</v>
      </c>
    </row>
    <row r="1501" spans="1:12">
      <c r="A1501" s="601" t="s">
        <v>3201</v>
      </c>
      <c r="B1501" s="601" t="str">
        <f t="shared" si="23"/>
        <v xml:space="preserve">GAP </v>
      </c>
      <c r="C1501" s="601" t="str">
        <f>MID(Table3[[#This Row],[Statement Code]],FIND("- ",Table3[[#This Row],[Statement Code]])+2,100)</f>
        <v>INCOME TAXES</v>
      </c>
      <c r="D1501" s="602" t="s">
        <v>3202</v>
      </c>
      <c r="E1501" s="601" t="s">
        <v>3118</v>
      </c>
      <c r="F1501" s="601" t="s">
        <v>551</v>
      </c>
      <c r="G1501" s="601">
        <v>147000</v>
      </c>
      <c r="H1501" s="601">
        <v>-315000</v>
      </c>
      <c r="I1501" s="601">
        <v>85000</v>
      </c>
      <c r="J1501" s="601">
        <v>63000</v>
      </c>
      <c r="K1501" s="601">
        <v>54000</v>
      </c>
      <c r="L1501" s="601" t="s">
        <v>23</v>
      </c>
    </row>
    <row r="1502" spans="1:12" hidden="1">
      <c r="A1502" s="601" t="s">
        <v>3203</v>
      </c>
      <c r="B1502" s="601" t="str">
        <f t="shared" si="23"/>
        <v xml:space="preserve">GAP </v>
      </c>
      <c r="C1502" s="601" t="str">
        <f>MID(Table3[[#This Row],[Statement Code]],FIND("- ",Table3[[#This Row],[Statement Code]])+2,100)</f>
        <v>INCREASE/DECREASE IN CASH/SHOR</v>
      </c>
      <c r="D1502" s="602" t="s">
        <v>3204</v>
      </c>
      <c r="E1502" s="601" t="s">
        <v>3118</v>
      </c>
      <c r="F1502" s="601" t="s">
        <v>551</v>
      </c>
      <c r="G1502" s="601">
        <v>-39000</v>
      </c>
      <c r="H1502" s="601">
        <v>635000</v>
      </c>
      <c r="I1502" s="601">
        <v>-1114000</v>
      </c>
      <c r="J1502" s="601">
        <v>371000</v>
      </c>
      <c r="K1502" s="601">
        <v>628000</v>
      </c>
      <c r="L1502" s="601" t="s">
        <v>23</v>
      </c>
    </row>
    <row r="1503" spans="1:12">
      <c r="A1503" s="601" t="s">
        <v>3205</v>
      </c>
      <c r="B1503" s="601" t="str">
        <f t="shared" si="23"/>
        <v xml:space="preserve">GAP </v>
      </c>
      <c r="C1503" s="601" t="str">
        <f>MID(Table3[[#This Row],[Statement Code]],FIND("- ",Table3[[#This Row],[Statement Code]])+2,100)</f>
        <v>INTEREST EXPENSE ON DEBT</v>
      </c>
      <c r="D1503" s="602" t="s">
        <v>3206</v>
      </c>
      <c r="E1503" s="601" t="s">
        <v>3118</v>
      </c>
      <c r="F1503" s="601" t="s">
        <v>551</v>
      </c>
      <c r="G1503" s="601">
        <v>83000</v>
      </c>
      <c r="H1503" s="601">
        <v>201000</v>
      </c>
      <c r="I1503" s="601">
        <v>174000</v>
      </c>
      <c r="J1503" s="601">
        <v>95000</v>
      </c>
      <c r="K1503" s="601">
        <v>95000</v>
      </c>
      <c r="L1503" s="601" t="s">
        <v>23</v>
      </c>
    </row>
    <row r="1504" spans="1:12" hidden="1">
      <c r="A1504" s="601" t="s">
        <v>3207</v>
      </c>
      <c r="B1504" s="601" t="str">
        <f t="shared" si="23"/>
        <v xml:space="preserve">GAP </v>
      </c>
      <c r="C1504" s="601" t="str">
        <f>MID(Table3[[#This Row],[Statement Code]],FIND("- ",Table3[[#This Row],[Statement Code]])+2,100)</f>
        <v>TOTAL INVENTORIES</v>
      </c>
      <c r="D1504" s="602" t="s">
        <v>3208</v>
      </c>
      <c r="E1504" s="601" t="s">
        <v>3118</v>
      </c>
      <c r="F1504" s="601" t="s">
        <v>551</v>
      </c>
      <c r="G1504" s="601">
        <v>2156000</v>
      </c>
      <c r="H1504" s="601">
        <v>2451000</v>
      </c>
      <c r="I1504" s="601">
        <v>3018000</v>
      </c>
      <c r="J1504" s="601">
        <v>2389000</v>
      </c>
      <c r="K1504" s="601">
        <v>1995000</v>
      </c>
      <c r="L1504" s="601" t="s">
        <v>23</v>
      </c>
    </row>
    <row r="1505" spans="1:12">
      <c r="A1505" s="601" t="s">
        <v>3209</v>
      </c>
      <c r="B1505" s="601" t="str">
        <f t="shared" si="23"/>
        <v xml:space="preserve">GAP </v>
      </c>
      <c r="C1505" s="601" t="str">
        <f>MID(Table3[[#This Row],[Statement Code]],FIND("- ",Table3[[#This Row],[Statement Code]])+2,100)</f>
        <v>LONG TERM DEBT</v>
      </c>
      <c r="D1505" s="602" t="s">
        <v>3210</v>
      </c>
      <c r="E1505" s="601" t="s">
        <v>3118</v>
      </c>
      <c r="F1505" s="601" t="s">
        <v>551</v>
      </c>
      <c r="G1505" s="601">
        <v>1249000</v>
      </c>
      <c r="H1505" s="601">
        <v>2216000</v>
      </c>
      <c r="I1505" s="601">
        <v>1484000</v>
      </c>
      <c r="J1505" s="601">
        <v>1836000</v>
      </c>
      <c r="K1505" s="601">
        <v>1488000</v>
      </c>
      <c r="L1505" s="601" t="s">
        <v>23</v>
      </c>
    </row>
    <row r="1506" spans="1:12" hidden="1">
      <c r="A1506" s="601" t="s">
        <v>3211</v>
      </c>
      <c r="B1506" s="601" t="str">
        <f t="shared" si="23"/>
        <v xml:space="preserve">GAP </v>
      </c>
      <c r="C1506" s="601" t="str">
        <f>MID(Table3[[#This Row],[Statement Code]],FIND("- ",Table3[[#This Row],[Statement Code]])+2,100)</f>
        <v>MARKET CAPITALIZATION</v>
      </c>
      <c r="D1506" s="602" t="s">
        <v>3212</v>
      </c>
      <c r="E1506" s="601" t="s">
        <v>3118</v>
      </c>
      <c r="F1506" s="601" t="s">
        <v>551</v>
      </c>
      <c r="G1506" s="601">
        <v>6559280</v>
      </c>
      <c r="H1506" s="601">
        <v>7551060</v>
      </c>
      <c r="I1506" s="601">
        <v>6548150</v>
      </c>
      <c r="J1506" s="601">
        <v>4128480</v>
      </c>
      <c r="K1506" s="601">
        <v>7778520</v>
      </c>
      <c r="L1506" s="601" t="s">
        <v>23</v>
      </c>
    </row>
    <row r="1507" spans="1:12" hidden="1">
      <c r="A1507" s="601" t="s">
        <v>3213</v>
      </c>
      <c r="B1507" s="601" t="str">
        <f t="shared" si="23"/>
        <v xml:space="preserve">GAP </v>
      </c>
      <c r="C1507" s="601" t="str">
        <f>MID(Table3[[#This Row],[Statement Code]],FIND("- ",Table3[[#This Row],[Statement Code]])+2,100)</f>
        <v>NET CASH FLOW - FINANCING</v>
      </c>
      <c r="D1507" s="602" t="s">
        <v>3214</v>
      </c>
      <c r="E1507" s="601" t="s">
        <v>3118</v>
      </c>
      <c r="F1507" s="601" t="s">
        <v>551</v>
      </c>
      <c r="G1507" s="601">
        <v>-560000</v>
      </c>
      <c r="H1507" s="601">
        <v>895000</v>
      </c>
      <c r="I1507" s="601">
        <v>-1471000</v>
      </c>
      <c r="J1507" s="601">
        <v>6000</v>
      </c>
      <c r="K1507" s="601">
        <v>-567000</v>
      </c>
      <c r="L1507" s="601" t="s">
        <v>23</v>
      </c>
    </row>
    <row r="1508" spans="1:12" hidden="1">
      <c r="A1508" s="601" t="s">
        <v>3215</v>
      </c>
      <c r="B1508" s="601" t="str">
        <f t="shared" si="23"/>
        <v xml:space="preserve">GAP </v>
      </c>
      <c r="C1508" s="601" t="str">
        <f>MID(Table3[[#This Row],[Statement Code]],FIND("- ",Table3[[#This Row],[Statement Code]])+2,100)</f>
        <v>NET CASH FLOW - INVESTING</v>
      </c>
      <c r="D1508" s="602" t="s">
        <v>3216</v>
      </c>
      <c r="E1508" s="601" t="s">
        <v>3118</v>
      </c>
      <c r="F1508" s="601" t="s">
        <v>551</v>
      </c>
      <c r="G1508" s="601">
        <v>894000</v>
      </c>
      <c r="H1508" s="601">
        <v>510000</v>
      </c>
      <c r="I1508" s="601">
        <v>446000</v>
      </c>
      <c r="J1508" s="601">
        <v>227000</v>
      </c>
      <c r="K1508" s="601">
        <v>334000</v>
      </c>
      <c r="L1508" s="601" t="s">
        <v>23</v>
      </c>
    </row>
    <row r="1509" spans="1:12" hidden="1">
      <c r="A1509" s="601" t="s">
        <v>3217</v>
      </c>
      <c r="B1509" s="601" t="str">
        <f t="shared" si="23"/>
        <v xml:space="preserve">GAP </v>
      </c>
      <c r="C1509" s="601" t="str">
        <f>MID(Table3[[#This Row],[Statement Code]],FIND("- ",Table3[[#This Row],[Statement Code]])+2,100)</f>
        <v>NET CASH FLOW-OPERATING ACTIVS</v>
      </c>
      <c r="D1509" s="602" t="s">
        <v>3218</v>
      </c>
      <c r="E1509" s="601" t="s">
        <v>3118</v>
      </c>
      <c r="F1509" s="601" t="s">
        <v>551</v>
      </c>
      <c r="G1509" s="601">
        <v>1411000</v>
      </c>
      <c r="H1509" s="601">
        <v>237000</v>
      </c>
      <c r="I1509" s="601">
        <v>809000</v>
      </c>
      <c r="J1509" s="601">
        <v>607000</v>
      </c>
      <c r="K1509" s="601">
        <v>1532000</v>
      </c>
      <c r="L1509" s="601" t="s">
        <v>23</v>
      </c>
    </row>
    <row r="1510" spans="1:12" hidden="1">
      <c r="A1510" s="601" t="s">
        <v>3219</v>
      </c>
      <c r="B1510" s="601" t="str">
        <f t="shared" si="23"/>
        <v xml:space="preserve">GAP </v>
      </c>
      <c r="C1510" s="601" t="str">
        <f>MID(Table3[[#This Row],[Statement Code]],FIND("- ",Table3[[#This Row],[Statement Code]])+2,100)</f>
        <v>NET DEBT</v>
      </c>
      <c r="D1510" s="602" t="s">
        <v>3220</v>
      </c>
      <c r="E1510" s="601" t="s">
        <v>3118</v>
      </c>
      <c r="F1510" s="601" t="s">
        <v>551</v>
      </c>
      <c r="G1510" s="601">
        <v>-415000</v>
      </c>
      <c r="H1510" s="601">
        <v>-191000</v>
      </c>
      <c r="I1510" s="601">
        <v>591000</v>
      </c>
      <c r="J1510" s="601">
        <v>610000</v>
      </c>
      <c r="K1510" s="601">
        <v>-392000</v>
      </c>
      <c r="L1510" s="601" t="s">
        <v>23</v>
      </c>
    </row>
    <row r="1511" spans="1:12">
      <c r="A1511" s="601" t="s">
        <v>3221</v>
      </c>
      <c r="B1511" s="601" t="str">
        <f t="shared" si="23"/>
        <v xml:space="preserve">GAP </v>
      </c>
      <c r="C1511" s="601" t="str">
        <f>MID(Table3[[#This Row],[Statement Code]],FIND("- ",Table3[[#This Row],[Statement Code]])+2,100)</f>
        <v>NET INCOME - DILUTED</v>
      </c>
      <c r="D1511" s="602" t="s">
        <v>3222</v>
      </c>
      <c r="E1511" s="601" t="s">
        <v>3118</v>
      </c>
      <c r="F1511" s="601" t="s">
        <v>551</v>
      </c>
      <c r="G1511" s="601">
        <v>381000</v>
      </c>
      <c r="H1511" s="601">
        <v>-787000</v>
      </c>
      <c r="I1511" s="601">
        <v>238000</v>
      </c>
      <c r="J1511" s="601">
        <v>-202000</v>
      </c>
      <c r="K1511" s="601">
        <v>502000</v>
      </c>
      <c r="L1511" s="601" t="s">
        <v>23</v>
      </c>
    </row>
    <row r="1512" spans="1:12">
      <c r="A1512" s="601" t="s">
        <v>3223</v>
      </c>
      <c r="B1512" s="601" t="str">
        <f t="shared" si="23"/>
        <v xml:space="preserve">GAP </v>
      </c>
      <c r="C1512" s="601" t="str">
        <f>MID(Table3[[#This Row],[Statement Code]],FIND("- ",Table3[[#This Row],[Statement Code]])+2,100)</f>
        <v>NET SALES OR REVENUES</v>
      </c>
      <c r="D1512" s="602" t="s">
        <v>3224</v>
      </c>
      <c r="E1512" s="601" t="s">
        <v>3118</v>
      </c>
      <c r="F1512" s="601" t="s">
        <v>551</v>
      </c>
      <c r="G1512" s="601">
        <v>16383000</v>
      </c>
      <c r="H1512" s="601">
        <v>13800000</v>
      </c>
      <c r="I1512" s="601">
        <v>16670000</v>
      </c>
      <c r="J1512" s="601">
        <v>15616000</v>
      </c>
      <c r="K1512" s="601">
        <v>14889000</v>
      </c>
      <c r="L1512" s="601" t="s">
        <v>23</v>
      </c>
    </row>
    <row r="1513" spans="1:12" hidden="1">
      <c r="A1513" s="601" t="s">
        <v>3225</v>
      </c>
      <c r="B1513" s="601" t="str">
        <f t="shared" si="23"/>
        <v xml:space="preserve">GAP </v>
      </c>
      <c r="C1513" s="601" t="str">
        <f>MID(Table3[[#This Row],[Statement Code]],FIND("- ",Table3[[#This Row],[Statement Code]])+2,100)</f>
        <v>NON-OPERATING INTEREST INCOME</v>
      </c>
      <c r="D1513" s="602" t="s">
        <v>3226</v>
      </c>
      <c r="E1513" s="601" t="s">
        <v>3118</v>
      </c>
      <c r="F1513" s="601" t="s">
        <v>551</v>
      </c>
      <c r="G1513" s="601">
        <v>30000</v>
      </c>
      <c r="H1513" s="601">
        <v>10000</v>
      </c>
      <c r="I1513" s="601">
        <v>5000</v>
      </c>
      <c r="J1513" s="601">
        <v>18000</v>
      </c>
      <c r="K1513" s="601">
        <v>86000</v>
      </c>
      <c r="L1513" s="601" t="s">
        <v>23</v>
      </c>
    </row>
    <row r="1514" spans="1:12" hidden="1">
      <c r="A1514" s="601" t="s">
        <v>3227</v>
      </c>
      <c r="B1514" s="601" t="str">
        <f t="shared" si="23"/>
        <v xml:space="preserve">GAP </v>
      </c>
      <c r="C1514" s="601" t="str">
        <f>MID(Table3[[#This Row],[Statement Code]],FIND("- ",Table3[[#This Row],[Statement Code]])+2,100)</f>
        <v>OPERATING EXPENSES - TOTAL</v>
      </c>
      <c r="D1514" s="602" t="s">
        <v>3228</v>
      </c>
      <c r="E1514" s="601" t="s">
        <v>3118</v>
      </c>
      <c r="F1514" s="601" t="s">
        <v>551</v>
      </c>
      <c r="G1514" s="601">
        <v>15481000</v>
      </c>
      <c r="H1514" s="601">
        <v>14105000</v>
      </c>
      <c r="I1514" s="601">
        <v>15751000</v>
      </c>
      <c r="J1514" s="601">
        <v>15581000</v>
      </c>
      <c r="K1514" s="601">
        <v>14276000</v>
      </c>
      <c r="L1514" s="601" t="s">
        <v>23</v>
      </c>
    </row>
    <row r="1515" spans="1:12">
      <c r="A1515" s="601" t="s">
        <v>3229</v>
      </c>
      <c r="B1515" s="601" t="str">
        <f t="shared" si="23"/>
        <v xml:space="preserve">GAP </v>
      </c>
      <c r="C1515" s="601" t="str">
        <f>MID(Table3[[#This Row],[Statement Code]],FIND("- ",Table3[[#This Row],[Statement Code]])+2,100)</f>
        <v>OPERATING INCOME</v>
      </c>
      <c r="D1515" s="602" t="s">
        <v>3230</v>
      </c>
      <c r="E1515" s="601" t="s">
        <v>3118</v>
      </c>
      <c r="F1515" s="601" t="s">
        <v>551</v>
      </c>
      <c r="G1515" s="601">
        <v>902000</v>
      </c>
      <c r="H1515" s="601">
        <v>-305000</v>
      </c>
      <c r="I1515" s="601">
        <v>919000</v>
      </c>
      <c r="J1515" s="601">
        <v>35000</v>
      </c>
      <c r="K1515" s="601">
        <v>613000</v>
      </c>
      <c r="L1515" s="601" t="s">
        <v>23</v>
      </c>
    </row>
    <row r="1516" spans="1:12" hidden="1">
      <c r="A1516" s="601" t="s">
        <v>3231</v>
      </c>
      <c r="B1516" s="601" t="str">
        <f t="shared" si="23"/>
        <v xml:space="preserve">GAP </v>
      </c>
      <c r="C1516" s="601" t="str">
        <f>MID(Table3[[#This Row],[Statement Code]],FIND("- ",Table3[[#This Row],[Statement Code]])+2,100)</f>
        <v>PRETAX INCOME</v>
      </c>
      <c r="D1516" s="602" t="s">
        <v>3232</v>
      </c>
      <c r="E1516" s="601" t="s">
        <v>3118</v>
      </c>
      <c r="F1516" s="601" t="s">
        <v>551</v>
      </c>
      <c r="G1516" s="601">
        <v>528000</v>
      </c>
      <c r="H1516" s="601">
        <v>-1102000</v>
      </c>
      <c r="I1516" s="601">
        <v>323000</v>
      </c>
      <c r="J1516" s="601">
        <v>-139000</v>
      </c>
      <c r="K1516" s="601">
        <v>556000</v>
      </c>
      <c r="L1516" s="601" t="s">
        <v>23</v>
      </c>
    </row>
    <row r="1517" spans="1:12" hidden="1">
      <c r="A1517" s="601" t="s">
        <v>3233</v>
      </c>
      <c r="B1517" s="601" t="str">
        <f t="shared" si="23"/>
        <v xml:space="preserve">GAP </v>
      </c>
      <c r="C1517" s="601" t="str">
        <f>MID(Table3[[#This Row],[Statement Code]],FIND("- ",Table3[[#This Row],[Statement Code]])+2,100)</f>
        <v>PROPERTY, PLANT &amp; EQUIP - NET</v>
      </c>
      <c r="D1517" s="602" t="s">
        <v>3234</v>
      </c>
      <c r="E1517" s="601" t="s">
        <v>3118</v>
      </c>
      <c r="F1517" s="601" t="s">
        <v>551</v>
      </c>
      <c r="G1517" s="601">
        <v>8524000</v>
      </c>
      <c r="H1517" s="601">
        <v>7058000</v>
      </c>
      <c r="I1517" s="601">
        <v>6712000</v>
      </c>
      <c r="J1517" s="601">
        <v>5861000</v>
      </c>
      <c r="K1517" s="601">
        <v>5681000</v>
      </c>
      <c r="L1517" s="601" t="s">
        <v>23</v>
      </c>
    </row>
    <row r="1518" spans="1:12" hidden="1">
      <c r="A1518" s="601" t="s">
        <v>3235</v>
      </c>
      <c r="B1518" s="601" t="str">
        <f t="shared" si="23"/>
        <v xml:space="preserve">GAP </v>
      </c>
      <c r="C1518" s="601" t="str">
        <f>MID(Table3[[#This Row],[Statement Code]],FIND("- ",Table3[[#This Row],[Statement Code]])+2,100)</f>
        <v>RECEIVABLES(NET)</v>
      </c>
      <c r="D1518" s="602" t="s">
        <v>3236</v>
      </c>
      <c r="E1518" s="601" t="s">
        <v>3118</v>
      </c>
      <c r="F1518" s="601" t="s">
        <v>551</v>
      </c>
      <c r="G1518" s="601">
        <v>316000</v>
      </c>
      <c r="H1518" s="601">
        <v>363000</v>
      </c>
      <c r="I1518" s="601">
        <v>399000</v>
      </c>
      <c r="J1518" s="601">
        <v>340000</v>
      </c>
      <c r="K1518" s="601">
        <v>289000</v>
      </c>
      <c r="L1518" s="601" t="s">
        <v>23</v>
      </c>
    </row>
    <row r="1519" spans="1:12" hidden="1">
      <c r="A1519" s="601" t="s">
        <v>3237</v>
      </c>
      <c r="B1519" s="601" t="str">
        <f t="shared" si="23"/>
        <v xml:space="preserve">GAP </v>
      </c>
      <c r="C1519" s="601" t="str">
        <f>MID(Table3[[#This Row],[Statement Code]],FIND("- ",Table3[[#This Row],[Statement Code]])+2,100)</f>
        <v>RESEARCH &amp; DEVELOPMENT</v>
      </c>
      <c r="D1519" s="602" t="s">
        <v>3238</v>
      </c>
      <c r="E1519" s="601" t="s">
        <v>3118</v>
      </c>
      <c r="F1519" s="601" t="s">
        <v>551</v>
      </c>
      <c r="G1519" s="601" t="s">
        <v>23</v>
      </c>
      <c r="H1519" s="601">
        <v>46000</v>
      </c>
      <c r="I1519" s="601">
        <v>41000</v>
      </c>
      <c r="J1519" s="601">
        <v>46000</v>
      </c>
      <c r="K1519" s="601">
        <v>37000</v>
      </c>
      <c r="L1519" s="601" t="s">
        <v>23</v>
      </c>
    </row>
    <row r="1520" spans="1:12">
      <c r="A1520" s="601" t="s">
        <v>3239</v>
      </c>
      <c r="B1520" s="601" t="str">
        <f t="shared" si="23"/>
        <v xml:space="preserve">GAP </v>
      </c>
      <c r="C1520" s="601" t="str">
        <f>MID(Table3[[#This Row],[Statement Code]],FIND("- ",Table3[[#This Row],[Statement Code]])+2,100)</f>
        <v>SELLING, GENERAL &amp; ADMINISTRAT</v>
      </c>
      <c r="D1520" s="602" t="s">
        <v>3240</v>
      </c>
      <c r="E1520" s="601" t="s">
        <v>3118</v>
      </c>
      <c r="F1520" s="601" t="s">
        <v>551</v>
      </c>
      <c r="G1520" s="601">
        <v>980000</v>
      </c>
      <c r="H1520" s="601">
        <v>1220000</v>
      </c>
      <c r="I1520" s="601">
        <v>1535000</v>
      </c>
      <c r="J1520" s="601">
        <v>1471000</v>
      </c>
      <c r="K1520" s="601">
        <v>1239000</v>
      </c>
      <c r="L1520" s="601" t="s">
        <v>23</v>
      </c>
    </row>
    <row r="1521" spans="1:12" hidden="1">
      <c r="A1521" s="601" t="s">
        <v>3241</v>
      </c>
      <c r="B1521" s="601" t="str">
        <f t="shared" si="23"/>
        <v xml:space="preserve">GAP </v>
      </c>
      <c r="C1521" s="601" t="str">
        <f>MID(Table3[[#This Row],[Statement Code]],FIND("- ",Table3[[#This Row],[Statement Code]])+2,100)</f>
        <v>SHORT TERM DEBT &amp; CURRENT PORT</v>
      </c>
      <c r="D1521" s="602" t="s">
        <v>3242</v>
      </c>
      <c r="E1521" s="601" t="s">
        <v>3118</v>
      </c>
      <c r="F1521" s="601" t="s">
        <v>551</v>
      </c>
      <c r="G1521" s="601">
        <v>0</v>
      </c>
      <c r="H1521" s="601">
        <v>0</v>
      </c>
      <c r="I1521" s="601">
        <v>0</v>
      </c>
      <c r="J1521" s="601">
        <v>0</v>
      </c>
      <c r="K1521" s="601">
        <v>0</v>
      </c>
      <c r="L1521" s="601" t="s">
        <v>23</v>
      </c>
    </row>
    <row r="1522" spans="1:12">
      <c r="A1522" s="601" t="s">
        <v>3243</v>
      </c>
      <c r="B1522" s="601" t="str">
        <f t="shared" si="23"/>
        <v xml:space="preserve">GAP </v>
      </c>
      <c r="C1522" s="601" t="str">
        <f>MID(Table3[[#This Row],[Statement Code]],FIND("- ",Table3[[#This Row],[Statement Code]])+2,100)</f>
        <v>TOTAL ASSETS</v>
      </c>
      <c r="D1522" s="602" t="s">
        <v>3244</v>
      </c>
      <c r="E1522" s="601" t="s">
        <v>3118</v>
      </c>
      <c r="F1522" s="601" t="s">
        <v>551</v>
      </c>
      <c r="G1522" s="601">
        <v>13679000</v>
      </c>
      <c r="H1522" s="601">
        <v>13769000</v>
      </c>
      <c r="I1522" s="601">
        <v>12761000</v>
      </c>
      <c r="J1522" s="601">
        <v>11386000</v>
      </c>
      <c r="K1522" s="601">
        <v>11044000</v>
      </c>
      <c r="L1522" s="601" t="s">
        <v>23</v>
      </c>
    </row>
    <row r="1523" spans="1:12" hidden="1">
      <c r="A1523" s="601" t="s">
        <v>3245</v>
      </c>
      <c r="B1523" s="601" t="str">
        <f t="shared" si="23"/>
        <v xml:space="preserve">GAP </v>
      </c>
      <c r="C1523" s="601" t="str">
        <f>MID(Table3[[#This Row],[Statement Code]],FIND("- ",Table3[[#This Row],[Statement Code]])+2,100)</f>
        <v>TOTAL CAPITAL</v>
      </c>
      <c r="D1523" s="602" t="s">
        <v>3246</v>
      </c>
      <c r="E1523" s="601" t="s">
        <v>3118</v>
      </c>
      <c r="F1523" s="601" t="s">
        <v>551</v>
      </c>
      <c r="G1523" s="601">
        <v>4565000</v>
      </c>
      <c r="H1523" s="601">
        <v>4830000</v>
      </c>
      <c r="I1523" s="601">
        <v>4206000</v>
      </c>
      <c r="J1523" s="601">
        <v>4069000</v>
      </c>
      <c r="K1523" s="601">
        <v>4083000</v>
      </c>
      <c r="L1523" s="601" t="s">
        <v>23</v>
      </c>
    </row>
    <row r="1524" spans="1:12">
      <c r="A1524" s="601" t="s">
        <v>3247</v>
      </c>
      <c r="B1524" s="601" t="str">
        <f t="shared" si="23"/>
        <v xml:space="preserve">GAP </v>
      </c>
      <c r="C1524" s="601" t="str">
        <f>MID(Table3[[#This Row],[Statement Code]],FIND("- ",Table3[[#This Row],[Statement Code]])+2,100)</f>
        <v>TOTAL DEBT</v>
      </c>
      <c r="D1524" s="602" t="s">
        <v>3248</v>
      </c>
      <c r="E1524" s="601" t="s">
        <v>3118</v>
      </c>
      <c r="F1524" s="601" t="s">
        <v>551</v>
      </c>
      <c r="G1524" s="601">
        <v>1249000</v>
      </c>
      <c r="H1524" s="601">
        <v>2216000</v>
      </c>
      <c r="I1524" s="601">
        <v>1484000</v>
      </c>
      <c r="J1524" s="601">
        <v>1836000</v>
      </c>
      <c r="K1524" s="601">
        <v>1488000</v>
      </c>
      <c r="L1524" s="601" t="s">
        <v>23</v>
      </c>
    </row>
    <row r="1525" spans="1:12" hidden="1">
      <c r="A1525" s="601" t="s">
        <v>3249</v>
      </c>
      <c r="B1525" s="601" t="str">
        <f t="shared" si="23"/>
        <v xml:space="preserve">GAP </v>
      </c>
      <c r="C1525" s="601" t="str">
        <f>MID(Table3[[#This Row],[Statement Code]],FIND("- ",Table3[[#This Row],[Statement Code]])+2,100)</f>
        <v>TOTAL INTANGIBLE OT ASSETS-NET</v>
      </c>
      <c r="D1525" s="602" t="s">
        <v>3250</v>
      </c>
      <c r="E1525" s="601" t="s">
        <v>3118</v>
      </c>
      <c r="F1525" s="601" t="s">
        <v>551</v>
      </c>
      <c r="G1525" s="601">
        <v>230000</v>
      </c>
      <c r="H1525" s="601">
        <v>170000</v>
      </c>
      <c r="I1525" s="601">
        <v>297000</v>
      </c>
      <c r="J1525" s="601">
        <v>288000</v>
      </c>
      <c r="K1525" s="601">
        <v>279000</v>
      </c>
      <c r="L1525" s="601" t="s">
        <v>23</v>
      </c>
    </row>
    <row r="1526" spans="1:12">
      <c r="A1526" s="601" t="s">
        <v>3251</v>
      </c>
      <c r="B1526" s="601" t="str">
        <f t="shared" si="23"/>
        <v xml:space="preserve">GAP </v>
      </c>
      <c r="C1526" s="601" t="str">
        <f>MID(Table3[[#This Row],[Statement Code]],FIND("- ",Table3[[#This Row],[Statement Code]])+2,100)</f>
        <v>TOTAL LIABILITIES</v>
      </c>
      <c r="D1526" s="602" t="s">
        <v>3252</v>
      </c>
      <c r="E1526" s="601" t="s">
        <v>3118</v>
      </c>
      <c r="F1526" s="601" t="s">
        <v>551</v>
      </c>
      <c r="G1526" s="601">
        <v>10363000</v>
      </c>
      <c r="H1526" s="601">
        <v>11155000</v>
      </c>
      <c r="I1526" s="601">
        <v>10039000</v>
      </c>
      <c r="J1526" s="601">
        <v>9153000</v>
      </c>
      <c r="K1526" s="601">
        <v>8449000</v>
      </c>
      <c r="L1526" s="601" t="s">
        <v>23</v>
      </c>
    </row>
    <row r="1527" spans="1:12" hidden="1">
      <c r="A1527" s="601" t="s">
        <v>3253</v>
      </c>
      <c r="B1527" s="601" t="str">
        <f t="shared" si="23"/>
        <v xml:space="preserve">GAP </v>
      </c>
      <c r="C1527" s="601" t="str">
        <f>MID(Table3[[#This Row],[Statement Code]],FIND("- ",Table3[[#This Row],[Statement Code]])+2,100)</f>
        <v>TOTAL LIABILITIES &amp; SHAREHOLDE</v>
      </c>
      <c r="D1527" s="602" t="s">
        <v>3254</v>
      </c>
      <c r="E1527" s="601" t="s">
        <v>3118</v>
      </c>
      <c r="F1527" s="601" t="s">
        <v>551</v>
      </c>
      <c r="G1527" s="601">
        <v>13679000</v>
      </c>
      <c r="H1527" s="601">
        <v>13769000</v>
      </c>
      <c r="I1527" s="601">
        <v>12761000</v>
      </c>
      <c r="J1527" s="601">
        <v>11386000</v>
      </c>
      <c r="K1527" s="601">
        <v>11044000</v>
      </c>
      <c r="L1527" s="601" t="s">
        <v>23</v>
      </c>
    </row>
    <row r="1528" spans="1:12" hidden="1">
      <c r="A1528" s="601" t="s">
        <v>3255</v>
      </c>
      <c r="B1528" s="601" t="str">
        <f t="shared" si="23"/>
        <v xml:space="preserve">GAP </v>
      </c>
      <c r="C1528" s="601" t="str">
        <f>MID(Table3[[#This Row],[Statement Code]],FIND("- ",Table3[[#This Row],[Statement Code]])+2,100)</f>
        <v>TOTAL SHAREHOLDERS EQUITY</v>
      </c>
      <c r="D1528" s="602" t="s">
        <v>3256</v>
      </c>
      <c r="E1528" s="601" t="s">
        <v>3118</v>
      </c>
      <c r="F1528" s="601" t="s">
        <v>551</v>
      </c>
      <c r="G1528" s="601">
        <v>3316000</v>
      </c>
      <c r="H1528" s="601">
        <v>2614000</v>
      </c>
      <c r="I1528" s="601">
        <v>2722000</v>
      </c>
      <c r="J1528" s="601">
        <v>2233000</v>
      </c>
      <c r="K1528" s="601">
        <v>2595000</v>
      </c>
      <c r="L1528" s="601" t="s">
        <v>23</v>
      </c>
    </row>
    <row r="1529" spans="1:12" hidden="1">
      <c r="A1529" s="601" t="s">
        <v>3257</v>
      </c>
      <c r="B1529" s="601" t="str">
        <f t="shared" si="23"/>
        <v xml:space="preserve">GAP </v>
      </c>
      <c r="C1529" s="601" t="str">
        <f>MID(Table3[[#This Row],[Statement Code]],FIND("- ",Table3[[#This Row],[Statement Code]])+2,100)</f>
        <v>WORKING CAPITAL</v>
      </c>
      <c r="D1529" s="602" t="s">
        <v>3258</v>
      </c>
      <c r="E1529" s="601" t="s">
        <v>3118</v>
      </c>
      <c r="F1529" s="601" t="s">
        <v>551</v>
      </c>
      <c r="G1529" s="601">
        <v>1307000</v>
      </c>
      <c r="H1529" s="601">
        <v>2124000</v>
      </c>
      <c r="I1529" s="601">
        <v>1088000</v>
      </c>
      <c r="J1529" s="601">
        <v>1361000</v>
      </c>
      <c r="K1529" s="601">
        <v>1299000</v>
      </c>
      <c r="L1529" s="601" t="s">
        <v>23</v>
      </c>
    </row>
    <row r="1530" spans="1:12" hidden="1">
      <c r="A1530" s="601" t="s">
        <v>3259</v>
      </c>
      <c r="B1530" s="601" t="str">
        <f t="shared" si="23"/>
        <v xml:space="preserve">GAP </v>
      </c>
      <c r="C1530" s="601" t="str">
        <f>MID(Table3[[#This Row],[Statement Code]],FIND("- ",Table3[[#This Row],[Statement Code]])+2,100)</f>
        <v>BK VAL PS 12M FWD</v>
      </c>
      <c r="D1530" s="602" t="s">
        <v>3260</v>
      </c>
      <c r="E1530" s="601" t="s">
        <v>3118</v>
      </c>
      <c r="F1530" s="601" t="s">
        <v>551</v>
      </c>
      <c r="G1530" s="601">
        <v>10.64</v>
      </c>
      <c r="H1530" s="601">
        <v>6.92</v>
      </c>
      <c r="I1530" s="601">
        <v>9.06</v>
      </c>
      <c r="J1530" s="601">
        <v>6.45</v>
      </c>
      <c r="K1530" s="601">
        <v>5.96</v>
      </c>
      <c r="L1530" s="601">
        <v>8.8800000000000008</v>
      </c>
    </row>
    <row r="1531" spans="1:12" hidden="1">
      <c r="A1531" s="601" t="s">
        <v>3261</v>
      </c>
      <c r="B1531" s="601" t="str">
        <f t="shared" si="23"/>
        <v xml:space="preserve">GAP </v>
      </c>
      <c r="C1531" s="601" t="str">
        <f>MID(Table3[[#This Row],[Statement Code]],FIND("- ",Table3[[#This Row],[Statement Code]])+2,100)</f>
        <v>EV 12M FWD</v>
      </c>
      <c r="D1531" s="602" t="s">
        <v>3262</v>
      </c>
      <c r="E1531" s="601" t="s">
        <v>3118</v>
      </c>
      <c r="F1531" s="601" t="s">
        <v>551</v>
      </c>
      <c r="G1531" s="601">
        <v>6759094</v>
      </c>
      <c r="H1531" s="601">
        <v>7216258</v>
      </c>
      <c r="I1531" s="601">
        <v>9689020</v>
      </c>
      <c r="J1531" s="601">
        <v>4685379</v>
      </c>
      <c r="K1531" s="601">
        <v>4364586</v>
      </c>
      <c r="L1531" s="601">
        <v>8139305</v>
      </c>
    </row>
    <row r="1532" spans="1:12" hidden="1">
      <c r="A1532" s="601" t="s">
        <v>3263</v>
      </c>
      <c r="B1532" s="601" t="str">
        <f t="shared" si="23"/>
        <v xml:space="preserve">GAP </v>
      </c>
      <c r="C1532" s="601" t="str">
        <f>MID(Table3[[#This Row],[Statement Code]],FIND("- ",Table3[[#This Row],[Statement Code]])+2,100)</f>
        <v>NET INCOME 12M FWD</v>
      </c>
      <c r="D1532" s="602" t="s">
        <v>3264</v>
      </c>
      <c r="E1532" s="601" t="s">
        <v>3118</v>
      </c>
      <c r="F1532" s="601" t="s">
        <v>551</v>
      </c>
      <c r="G1532" s="601">
        <v>789550.1</v>
      </c>
      <c r="H1532" s="601">
        <v>10076.74</v>
      </c>
      <c r="I1532" s="601">
        <v>925596.7</v>
      </c>
      <c r="J1532" s="601">
        <v>124510</v>
      </c>
      <c r="K1532" s="601">
        <v>292090.09999999998</v>
      </c>
      <c r="L1532" s="601">
        <v>751883.1</v>
      </c>
    </row>
    <row r="1533" spans="1:12" hidden="1">
      <c r="A1533" s="601" t="s">
        <v>3265</v>
      </c>
      <c r="B1533" s="601" t="str">
        <f t="shared" si="23"/>
        <v xml:space="preserve">GAP </v>
      </c>
      <c r="C1533" s="601" t="str">
        <f>MID(Table3[[#This Row],[Statement Code]],FIND("- ",Table3[[#This Row],[Statement Code]])+2,100)</f>
        <v>PRETAX PRF 12M FWD</v>
      </c>
      <c r="D1533" s="602" t="s">
        <v>3266</v>
      </c>
      <c r="E1533" s="601" t="s">
        <v>3118</v>
      </c>
      <c r="F1533" s="601" t="s">
        <v>551</v>
      </c>
      <c r="G1533" s="601">
        <v>1070557</v>
      </c>
      <c r="H1533" s="601">
        <v>-1020.02</v>
      </c>
      <c r="I1533" s="601">
        <v>1241020</v>
      </c>
      <c r="J1533" s="601">
        <v>173173.3</v>
      </c>
      <c r="K1533" s="601">
        <v>368783.2</v>
      </c>
      <c r="L1533" s="601">
        <v>1037652</v>
      </c>
    </row>
    <row r="1534" spans="1:12" hidden="1">
      <c r="A1534" s="601" t="s">
        <v>3267</v>
      </c>
      <c r="B1534" s="601" t="str">
        <f t="shared" si="23"/>
        <v xml:space="preserve">GAP </v>
      </c>
      <c r="C1534" s="601" t="str">
        <f>MID(Table3[[#This Row],[Statement Code]],FIND("- ",Table3[[#This Row],[Statement Code]])+2,100)</f>
        <v>ROE 12M FWD</v>
      </c>
      <c r="D1534" s="602" t="s">
        <v>3268</v>
      </c>
      <c r="E1534" s="601" t="s">
        <v>3118</v>
      </c>
      <c r="F1534" s="601" t="s">
        <v>551</v>
      </c>
      <c r="G1534" s="601">
        <v>20.56</v>
      </c>
      <c r="H1534" s="601">
        <v>2.4700000000000002</v>
      </c>
      <c r="I1534" s="601">
        <v>31.48</v>
      </c>
      <c r="J1534" s="601">
        <v>6.19</v>
      </c>
      <c r="K1534" s="601">
        <v>11.94</v>
      </c>
      <c r="L1534" s="601">
        <v>24.85</v>
      </c>
    </row>
    <row r="1535" spans="1:12" hidden="1">
      <c r="A1535" s="601" t="s">
        <v>3269</v>
      </c>
      <c r="B1535" s="601" t="str">
        <f t="shared" si="23"/>
        <v xml:space="preserve">GAP </v>
      </c>
      <c r="C1535" s="601" t="str">
        <f>MID(Table3[[#This Row],[Statement Code]],FIND("- ",Table3[[#This Row],[Statement Code]])+2,100)</f>
        <v>SALES 12M FWD</v>
      </c>
      <c r="D1535" s="602" t="s">
        <v>3270</v>
      </c>
      <c r="E1535" s="601" t="s">
        <v>3118</v>
      </c>
      <c r="F1535" s="601" t="s">
        <v>551</v>
      </c>
      <c r="G1535" s="601">
        <v>16588930</v>
      </c>
      <c r="H1535" s="601">
        <v>14763490</v>
      </c>
      <c r="I1535" s="601">
        <v>18120700</v>
      </c>
      <c r="J1535" s="601">
        <v>15851980</v>
      </c>
      <c r="K1535" s="601">
        <v>14759970</v>
      </c>
      <c r="L1535" s="601">
        <v>15125630</v>
      </c>
    </row>
    <row r="1536" spans="1:12" hidden="1">
      <c r="A1536" s="601" t="s">
        <v>3271</v>
      </c>
      <c r="B1536" s="601" t="str">
        <f t="shared" si="23"/>
        <v xml:space="preserve">GAP </v>
      </c>
      <c r="C1536" s="601" t="str">
        <f>MID(Table3[[#This Row],[Statement Code]],FIND("- ",Table3[[#This Row],[Statement Code]])+2,100)</f>
        <v>DECREASE/INCR OTH ASTS/LIABILT</v>
      </c>
      <c r="D1536" s="602" t="s">
        <v>3272</v>
      </c>
      <c r="E1536" s="601" t="s">
        <v>3118</v>
      </c>
      <c r="F1536" s="601" t="s">
        <v>551</v>
      </c>
      <c r="G1536" s="601">
        <v>44000</v>
      </c>
      <c r="H1536" s="601">
        <v>-113000</v>
      </c>
      <c r="I1536" s="601">
        <v>-147000</v>
      </c>
      <c r="J1536" s="601">
        <v>9000</v>
      </c>
      <c r="K1536" s="601">
        <v>-12000</v>
      </c>
      <c r="L1536" s="601" t="s">
        <v>23</v>
      </c>
    </row>
    <row r="1537" spans="1:12" hidden="1">
      <c r="A1537" s="601" t="s">
        <v>3273</v>
      </c>
      <c r="B1537" s="601" t="str">
        <f t="shared" si="23"/>
        <v xml:space="preserve">GAP </v>
      </c>
      <c r="C1537" s="601" t="str">
        <f>MID(Table3[[#This Row],[Statement Code]],FIND("- ",Table3[[#This Row],[Statement Code]])+2,100)</f>
        <v>DECREASE/INCREASE INVENTORIES</v>
      </c>
      <c r="D1537" s="602" t="s">
        <v>3274</v>
      </c>
      <c r="E1537" s="601" t="s">
        <v>3118</v>
      </c>
      <c r="F1537" s="601" t="s">
        <v>551</v>
      </c>
      <c r="G1537" s="601">
        <v>4000</v>
      </c>
      <c r="H1537" s="601">
        <v>-305000</v>
      </c>
      <c r="I1537" s="601">
        <v>-593000</v>
      </c>
      <c r="J1537" s="601">
        <v>554000</v>
      </c>
      <c r="K1537" s="601">
        <v>383000</v>
      </c>
      <c r="L1537" s="601" t="s">
        <v>23</v>
      </c>
    </row>
    <row r="1538" spans="1:12" hidden="1">
      <c r="A1538" s="601" t="s">
        <v>3275</v>
      </c>
      <c r="B1538" s="601" t="str">
        <f t="shared" si="23"/>
        <v xml:space="preserve">GAP </v>
      </c>
      <c r="C1538" s="601" t="str">
        <f>MID(Table3[[#This Row],[Statement Code]],FIND("- ",Table3[[#This Row],[Statement Code]])+2,100)</f>
        <v>DECREASE IN INVESTMENTS</v>
      </c>
      <c r="D1538" s="602" t="s">
        <v>3276</v>
      </c>
      <c r="E1538" s="601" t="s">
        <v>3118</v>
      </c>
      <c r="F1538" s="601" t="s">
        <v>551</v>
      </c>
      <c r="G1538" s="601">
        <v>293000</v>
      </c>
      <c r="H1538" s="601">
        <v>388000</v>
      </c>
      <c r="I1538" s="601">
        <v>1162000</v>
      </c>
      <c r="J1538" s="601">
        <v>0</v>
      </c>
      <c r="K1538" s="601">
        <v>0</v>
      </c>
      <c r="L1538" s="601" t="s">
        <v>23</v>
      </c>
    </row>
    <row r="1539" spans="1:12" hidden="1">
      <c r="A1539" s="601" t="s">
        <v>3277</v>
      </c>
      <c r="B1539" s="601" t="str">
        <f t="shared" ref="B1539:B1602" si="24">LEFT(A1539,FIND(" ",A1539))</f>
        <v xml:space="preserve">NORDSTROM </v>
      </c>
      <c r="C1539" s="601" t="str">
        <f>MID(Table3[[#This Row],[Statement Code]],FIND("- ",Table3[[#This Row],[Statement Code]])+2,100)</f>
        <v>MARKET VALUE</v>
      </c>
      <c r="D1539" s="602" t="s">
        <v>3278</v>
      </c>
      <c r="E1539" s="601" t="s">
        <v>3279</v>
      </c>
      <c r="F1539" s="601" t="s">
        <v>551</v>
      </c>
      <c r="G1539" s="601">
        <v>5048.67</v>
      </c>
      <c r="H1539" s="601">
        <v>2275.54</v>
      </c>
      <c r="I1539" s="601">
        <v>4468.91</v>
      </c>
      <c r="J1539" s="601">
        <v>3007.59</v>
      </c>
      <c r="K1539" s="601">
        <v>2349.19</v>
      </c>
      <c r="L1539" s="601">
        <v>3704.6</v>
      </c>
    </row>
    <row r="1540" spans="1:12" hidden="1">
      <c r="A1540" s="601" t="s">
        <v>3280</v>
      </c>
      <c r="B1540" s="601" t="str">
        <f t="shared" si="24"/>
        <v xml:space="preserve">NORDSTROM </v>
      </c>
      <c r="C1540" s="601" t="str">
        <f>MID(Table3[[#This Row],[Statement Code]],FIND("- ",Table3[[#This Row],[Statement Code]])+2,100)</f>
        <v>PER</v>
      </c>
      <c r="D1540" s="602" t="s">
        <v>3281</v>
      </c>
      <c r="E1540" s="601" t="s">
        <v>3279</v>
      </c>
      <c r="F1540" s="601" t="s">
        <v>551</v>
      </c>
      <c r="G1540" s="601">
        <v>10.9</v>
      </c>
      <c r="H1540" s="601" t="s">
        <v>23</v>
      </c>
      <c r="I1540" s="601">
        <v>1654.1</v>
      </c>
      <c r="J1540" s="601">
        <v>7.5</v>
      </c>
      <c r="K1540" s="601">
        <v>73</v>
      </c>
      <c r="L1540" s="601">
        <v>13</v>
      </c>
    </row>
    <row r="1541" spans="1:12" hidden="1">
      <c r="A1541" s="601" t="s">
        <v>3282</v>
      </c>
      <c r="B1541" s="601" t="str">
        <f t="shared" si="24"/>
        <v xml:space="preserve">NORDSTROM </v>
      </c>
      <c r="C1541" s="601" t="str">
        <f>MID(Table3[[#This Row],[Statement Code]],FIND("- ",Table3[[#This Row],[Statement Code]])+2,100)</f>
        <v>12MTH FORWARD EPS</v>
      </c>
      <c r="D1541" s="602" t="s">
        <v>3283</v>
      </c>
      <c r="E1541" s="601" t="s">
        <v>3279</v>
      </c>
      <c r="F1541" s="601" t="s">
        <v>551</v>
      </c>
      <c r="G1541" s="601">
        <v>3.363</v>
      </c>
      <c r="H1541" s="601">
        <v>-0.44700000000000001</v>
      </c>
      <c r="I1541" s="601">
        <v>2.08</v>
      </c>
      <c r="J1541" s="601">
        <v>2.5169999999999999</v>
      </c>
      <c r="K1541" s="601">
        <v>2.0299999999999998</v>
      </c>
      <c r="L1541" s="601">
        <v>1.9339999999999999</v>
      </c>
    </row>
    <row r="1542" spans="1:12" hidden="1">
      <c r="A1542" s="601" t="s">
        <v>3284</v>
      </c>
      <c r="B1542" s="601" t="e">
        <f t="shared" si="24"/>
        <v>#VALUE!</v>
      </c>
      <c r="C1542" s="601" t="e">
        <f>MID(Table3[[#This Row],[Statement Code]],FIND("- ",Table3[[#This Row],[Statement Code]])+2,100)</f>
        <v>#VALUE!</v>
      </c>
      <c r="D1542" s="602" t="s">
        <v>3285</v>
      </c>
      <c r="E1542" s="601" t="s">
        <v>3279</v>
      </c>
      <c r="F1542" s="601" t="s">
        <v>551</v>
      </c>
      <c r="G1542" s="601">
        <v>12.926</v>
      </c>
      <c r="H1542" s="601">
        <v>-2.964</v>
      </c>
      <c r="I1542" s="601">
        <v>7.7039999999999997</v>
      </c>
      <c r="J1542" s="601">
        <v>13.997</v>
      </c>
      <c r="K1542" s="601">
        <v>14</v>
      </c>
      <c r="L1542" s="601">
        <v>8.5749999999999993</v>
      </c>
    </row>
    <row r="1543" spans="1:12" hidden="1">
      <c r="A1543" s="601" t="s">
        <v>3284</v>
      </c>
      <c r="B1543" s="601" t="e">
        <f t="shared" si="24"/>
        <v>#VALUE!</v>
      </c>
      <c r="C1543" s="601" t="e">
        <f>MID(Table3[[#This Row],[Statement Code]],FIND("- ",Table3[[#This Row],[Statement Code]])+2,100)</f>
        <v>#VALUE!</v>
      </c>
      <c r="D1543" s="602" t="s">
        <v>3286</v>
      </c>
      <c r="E1543" s="601" t="s">
        <v>3279</v>
      </c>
      <c r="F1543" s="601" t="s">
        <v>551</v>
      </c>
      <c r="G1543" s="601">
        <v>8.4320000000000004</v>
      </c>
      <c r="H1543" s="601">
        <v>581.99300000000005</v>
      </c>
      <c r="I1543" s="601">
        <v>11.881</v>
      </c>
      <c r="J1543" s="601">
        <v>7.5869999999999997</v>
      </c>
      <c r="K1543" s="601">
        <v>8.3979999999999997</v>
      </c>
      <c r="L1543" s="601">
        <v>11.145</v>
      </c>
    </row>
    <row r="1544" spans="1:12" hidden="1">
      <c r="A1544" s="601" t="s">
        <v>3284</v>
      </c>
      <c r="B1544" s="601" t="e">
        <f t="shared" si="24"/>
        <v>#VALUE!</v>
      </c>
      <c r="C1544" s="601" t="e">
        <f>MID(Table3[[#This Row],[Statement Code]],FIND("- ",Table3[[#This Row],[Statement Code]])+2,100)</f>
        <v>#VALUE!</v>
      </c>
      <c r="D1544" s="602" t="s">
        <v>3287</v>
      </c>
      <c r="E1544" s="601" t="s">
        <v>3279</v>
      </c>
      <c r="F1544" s="601" t="s">
        <v>551</v>
      </c>
      <c r="G1544" s="601">
        <v>4.593</v>
      </c>
      <c r="H1544" s="601">
        <v>7.4560000000000004</v>
      </c>
      <c r="I1544" s="601">
        <v>5.5579999999999998</v>
      </c>
      <c r="J1544" s="601">
        <v>3.9929999999999999</v>
      </c>
      <c r="K1544" s="601">
        <v>4.0209999999999999</v>
      </c>
      <c r="L1544" s="601">
        <v>5.1779999999999999</v>
      </c>
    </row>
    <row r="1545" spans="1:12" hidden="1">
      <c r="A1545" s="601" t="s">
        <v>3284</v>
      </c>
      <c r="B1545" s="601" t="e">
        <f t="shared" si="24"/>
        <v>#VALUE!</v>
      </c>
      <c r="C1545" s="601" t="e">
        <f>MID(Table3[[#This Row],[Statement Code]],FIND("- ",Table3[[#This Row],[Statement Code]])+2,100)</f>
        <v>#VALUE!</v>
      </c>
      <c r="D1545" s="602" t="s">
        <v>3288</v>
      </c>
      <c r="E1545" s="601" t="s">
        <v>3279</v>
      </c>
      <c r="F1545" s="601" t="s">
        <v>551</v>
      </c>
      <c r="G1545" s="601">
        <v>8.0596999999999994</v>
      </c>
      <c r="H1545" s="601">
        <v>19.866499999999998</v>
      </c>
      <c r="I1545" s="601">
        <v>2.7263999999999999</v>
      </c>
      <c r="J1545" s="601">
        <v>16.1905</v>
      </c>
      <c r="K1545" s="601">
        <v>14.544600000000001</v>
      </c>
      <c r="L1545" s="601">
        <v>10.996600000000001</v>
      </c>
    </row>
    <row r="1546" spans="1:12" hidden="1">
      <c r="A1546" s="601" t="s">
        <v>3284</v>
      </c>
      <c r="B1546" s="601" t="e">
        <f t="shared" si="24"/>
        <v>#VALUE!</v>
      </c>
      <c r="C1546" s="601" t="e">
        <f>MID(Table3[[#This Row],[Statement Code]],FIND("- ",Table3[[#This Row],[Statement Code]])+2,100)</f>
        <v>#VALUE!</v>
      </c>
      <c r="D1546" s="602" t="s">
        <v>3289</v>
      </c>
      <c r="E1546" s="601" t="s">
        <v>3279</v>
      </c>
      <c r="F1546" s="601" t="s">
        <v>551</v>
      </c>
      <c r="G1546" s="601">
        <v>0.434</v>
      </c>
      <c r="H1546" s="601">
        <v>0.378</v>
      </c>
      <c r="I1546" s="601">
        <v>0.46899999999999997</v>
      </c>
      <c r="J1546" s="601">
        <v>0.32800000000000001</v>
      </c>
      <c r="K1546" s="601">
        <v>0.311</v>
      </c>
      <c r="L1546" s="601">
        <v>0.39700000000000002</v>
      </c>
    </row>
    <row r="1547" spans="1:12" hidden="1">
      <c r="A1547" s="601" t="s">
        <v>3284</v>
      </c>
      <c r="B1547" s="601" t="e">
        <f t="shared" si="24"/>
        <v>#VALUE!</v>
      </c>
      <c r="C1547" s="601" t="e">
        <f>MID(Table3[[#This Row],[Statement Code]],FIND("- ",Table3[[#This Row],[Statement Code]])+2,100)</f>
        <v>#VALUE!</v>
      </c>
      <c r="D1547" s="602" t="s">
        <v>3290</v>
      </c>
      <c r="E1547" s="601" t="s">
        <v>3279</v>
      </c>
      <c r="F1547" s="601" t="s">
        <v>551</v>
      </c>
      <c r="G1547" s="601">
        <v>1.5389999999999999</v>
      </c>
      <c r="H1547" s="601">
        <v>4.2279999999999998</v>
      </c>
      <c r="I1547" s="601">
        <v>1.6060000000000001</v>
      </c>
      <c r="J1547" s="601">
        <v>1.7190000000000001</v>
      </c>
      <c r="K1547" s="601">
        <v>1.992</v>
      </c>
      <c r="L1547" s="601">
        <v>2.0990000000000002</v>
      </c>
    </row>
    <row r="1548" spans="1:12" hidden="1">
      <c r="A1548" s="601" t="s">
        <v>3284</v>
      </c>
      <c r="B1548" s="601" t="e">
        <f t="shared" si="24"/>
        <v>#VALUE!</v>
      </c>
      <c r="C1548" s="601" t="e">
        <f>MID(Table3[[#This Row],[Statement Code]],FIND("- ",Table3[[#This Row],[Statement Code]])+2,100)</f>
        <v>#VALUE!</v>
      </c>
      <c r="D1548" s="602" t="s">
        <v>3291</v>
      </c>
      <c r="E1548" s="601" t="s">
        <v>3279</v>
      </c>
      <c r="F1548" s="601" t="s">
        <v>551</v>
      </c>
      <c r="G1548" s="601">
        <v>0.34399999999999997</v>
      </c>
      <c r="H1548" s="601">
        <v>0.61899999999999999</v>
      </c>
      <c r="I1548" s="601">
        <v>0.30599999999999999</v>
      </c>
      <c r="J1548" s="601">
        <v>0.39100000000000001</v>
      </c>
      <c r="K1548" s="601">
        <v>0.51500000000000001</v>
      </c>
      <c r="L1548" s="601">
        <v>0.38700000000000001</v>
      </c>
    </row>
    <row r="1549" spans="1:12" hidden="1">
      <c r="A1549" s="601" t="s">
        <v>3284</v>
      </c>
      <c r="B1549" s="601" t="e">
        <f t="shared" si="24"/>
        <v>#VALUE!</v>
      </c>
      <c r="C1549" s="601" t="e">
        <f>MID(Table3[[#This Row],[Statement Code]],FIND("- ",Table3[[#This Row],[Statement Code]])+2,100)</f>
        <v>#VALUE!</v>
      </c>
      <c r="D1549" s="602" t="s">
        <v>3292</v>
      </c>
      <c r="E1549" s="601" t="s">
        <v>3279</v>
      </c>
      <c r="F1549" s="601" t="s">
        <v>551</v>
      </c>
      <c r="G1549" s="601">
        <v>0.46</v>
      </c>
      <c r="H1549" s="601" t="s">
        <v>23</v>
      </c>
      <c r="I1549" s="601">
        <v>0.6</v>
      </c>
      <c r="J1549" s="601">
        <v>0.42</v>
      </c>
      <c r="K1549" s="601">
        <v>0.38</v>
      </c>
      <c r="L1549" s="601">
        <v>0.55000000000000004</v>
      </c>
    </row>
    <row r="1550" spans="1:12" hidden="1">
      <c r="A1550" s="601" t="s">
        <v>3284</v>
      </c>
      <c r="B1550" s="601" t="e">
        <f t="shared" si="24"/>
        <v>#VALUE!</v>
      </c>
      <c r="C1550" s="601" t="e">
        <f>MID(Table3[[#This Row],[Statement Code]],FIND("- ",Table3[[#This Row],[Statement Code]])+2,100)</f>
        <v>#VALUE!</v>
      </c>
      <c r="D1550" s="602" t="s">
        <v>3293</v>
      </c>
      <c r="E1550" s="601" t="s">
        <v>3279</v>
      </c>
      <c r="F1550" s="601" t="s">
        <v>551</v>
      </c>
      <c r="G1550" s="601">
        <v>0.28000000000000003</v>
      </c>
      <c r="H1550" s="601" t="s">
        <v>23</v>
      </c>
      <c r="I1550" s="601">
        <v>0.41</v>
      </c>
      <c r="J1550" s="601">
        <v>0.25</v>
      </c>
      <c r="K1550" s="601">
        <v>0.25</v>
      </c>
      <c r="L1550" s="601">
        <v>0.39</v>
      </c>
    </row>
    <row r="1551" spans="1:12" hidden="1">
      <c r="A1551" s="601" t="s">
        <v>3284</v>
      </c>
      <c r="B1551" s="601" t="e">
        <f t="shared" si="24"/>
        <v>#VALUE!</v>
      </c>
      <c r="C1551" s="601" t="e">
        <f>MID(Table3[[#This Row],[Statement Code]],FIND("- ",Table3[[#This Row],[Statement Code]])+2,100)</f>
        <v>#VALUE!</v>
      </c>
      <c r="D1551" s="602" t="s">
        <v>3294</v>
      </c>
      <c r="E1551" s="601" t="s">
        <v>3279</v>
      </c>
      <c r="F1551" s="601" t="s">
        <v>551</v>
      </c>
      <c r="G1551" s="601">
        <v>4.9404000000000003</v>
      </c>
      <c r="H1551" s="601">
        <v>5.1166</v>
      </c>
      <c r="I1551" s="601">
        <v>10.4406</v>
      </c>
      <c r="J1551" s="601">
        <v>3.3022999999999998</v>
      </c>
      <c r="K1551" s="601">
        <v>2.4516</v>
      </c>
      <c r="L1551" s="601">
        <v>3.1993</v>
      </c>
    </row>
    <row r="1552" spans="1:12">
      <c r="A1552" s="601" t="s">
        <v>3295</v>
      </c>
      <c r="B1552" s="601" t="str">
        <f t="shared" si="24"/>
        <v xml:space="preserve">NORDSTROM </v>
      </c>
      <c r="C1552" s="601" t="str">
        <f>MID(Table3[[#This Row],[Statement Code]],FIND("- ",Table3[[#This Row],[Statement Code]])+2,100)</f>
        <v>12MTH TRAILING EPS</v>
      </c>
      <c r="D1552" s="602" t="s">
        <v>3296</v>
      </c>
      <c r="E1552" s="601" t="s">
        <v>3279</v>
      </c>
      <c r="F1552" s="601" t="s">
        <v>551</v>
      </c>
      <c r="G1552" s="601">
        <v>3.4119999999999999</v>
      </c>
      <c r="H1552" s="601">
        <v>-1.77</v>
      </c>
      <c r="I1552" s="601">
        <v>-0.49</v>
      </c>
      <c r="J1552" s="601">
        <v>2.0670000000000002</v>
      </c>
      <c r="K1552" s="601">
        <v>1.917</v>
      </c>
      <c r="L1552" s="601">
        <v>1.978</v>
      </c>
    </row>
    <row r="1553" spans="1:12" hidden="1">
      <c r="A1553" s="601" t="s">
        <v>3297</v>
      </c>
      <c r="B1553" s="601" t="str">
        <f t="shared" si="24"/>
        <v xml:space="preserve">NORDSTROM </v>
      </c>
      <c r="C1553" s="601" t="str">
        <f>MID(Table3[[#This Row],[Statement Code]],FIND("- ",Table3[[#This Row],[Statement Code]])+2,100)</f>
        <v>DIV.PER SHR.</v>
      </c>
      <c r="D1553" s="602" t="s">
        <v>3298</v>
      </c>
      <c r="E1553" s="601" t="s">
        <v>3279</v>
      </c>
      <c r="F1553" s="601" t="s">
        <v>551</v>
      </c>
      <c r="G1553" s="601">
        <v>1.48</v>
      </c>
      <c r="H1553" s="601">
        <v>0</v>
      </c>
      <c r="I1553" s="601">
        <v>0</v>
      </c>
      <c r="J1553" s="601">
        <v>0.76</v>
      </c>
      <c r="K1553" s="601">
        <v>0.76</v>
      </c>
      <c r="L1553" s="601">
        <v>0.76</v>
      </c>
    </row>
    <row r="1554" spans="1:12" hidden="1">
      <c r="A1554" s="601" t="s">
        <v>3284</v>
      </c>
      <c r="B1554" s="601" t="e">
        <f t="shared" si="24"/>
        <v>#VALUE!</v>
      </c>
      <c r="C1554" s="601" t="e">
        <f>MID(Table3[[#This Row],[Statement Code]],FIND("- ",Table3[[#This Row],[Statement Code]])+2,100)</f>
        <v>#VALUE!</v>
      </c>
      <c r="D1554" s="602" t="s">
        <v>3299</v>
      </c>
      <c r="E1554" s="601" t="s">
        <v>3279</v>
      </c>
      <c r="F1554" s="601" t="s">
        <v>551</v>
      </c>
      <c r="G1554" s="601">
        <v>5.9249999999999998</v>
      </c>
      <c r="H1554" s="601">
        <v>4.9329999999999998</v>
      </c>
      <c r="I1554" s="601">
        <v>4.5060000000000002</v>
      </c>
      <c r="J1554" s="601">
        <v>4.375</v>
      </c>
      <c r="K1554" s="601">
        <v>4.782</v>
      </c>
      <c r="L1554" s="601">
        <v>3.407</v>
      </c>
    </row>
    <row r="1555" spans="1:12" hidden="1">
      <c r="A1555" s="601" t="s">
        <v>3282</v>
      </c>
      <c r="B1555" s="601" t="str">
        <f t="shared" si="24"/>
        <v xml:space="preserve">NORDSTROM </v>
      </c>
      <c r="C1555" s="601" t="str">
        <f>MID(Table3[[#This Row],[Statement Code]],FIND("- ",Table3[[#This Row],[Statement Code]])+2,100)</f>
        <v>12MTH FORWARD EPS</v>
      </c>
      <c r="D1555" s="602" t="s">
        <v>3283</v>
      </c>
      <c r="E1555" s="601" t="s">
        <v>3279</v>
      </c>
      <c r="F1555" s="601" t="s">
        <v>551</v>
      </c>
      <c r="G1555" s="601">
        <v>3.363</v>
      </c>
      <c r="H1555" s="601">
        <v>-0.44700000000000001</v>
      </c>
      <c r="I1555" s="601">
        <v>2.08</v>
      </c>
      <c r="J1555" s="601">
        <v>2.5169999999999999</v>
      </c>
      <c r="K1555" s="601">
        <v>2.0299999999999998</v>
      </c>
      <c r="L1555" s="601">
        <v>1.9339999999999999</v>
      </c>
    </row>
    <row r="1556" spans="1:12" hidden="1">
      <c r="A1556" s="601" t="s">
        <v>3280</v>
      </c>
      <c r="B1556" s="601" t="str">
        <f t="shared" si="24"/>
        <v xml:space="preserve">NORDSTROM </v>
      </c>
      <c r="C1556" s="601" t="str">
        <f>MID(Table3[[#This Row],[Statement Code]],FIND("- ",Table3[[#This Row],[Statement Code]])+2,100)</f>
        <v>PER</v>
      </c>
      <c r="D1556" s="602" t="s">
        <v>3281</v>
      </c>
      <c r="E1556" s="601" t="s">
        <v>3279</v>
      </c>
      <c r="F1556" s="601" t="s">
        <v>551</v>
      </c>
      <c r="G1556" s="601">
        <v>10.9</v>
      </c>
      <c r="H1556" s="601" t="s">
        <v>23</v>
      </c>
      <c r="I1556" s="601">
        <v>1654.1</v>
      </c>
      <c r="J1556" s="601">
        <v>7.5</v>
      </c>
      <c r="K1556" s="601">
        <v>73</v>
      </c>
      <c r="L1556" s="601">
        <v>13</v>
      </c>
    </row>
    <row r="1557" spans="1:12" hidden="1">
      <c r="A1557" s="601" t="s">
        <v>3277</v>
      </c>
      <c r="B1557" s="601" t="str">
        <f t="shared" si="24"/>
        <v xml:space="preserve">NORDSTROM </v>
      </c>
      <c r="C1557" s="601" t="str">
        <f>MID(Table3[[#This Row],[Statement Code]],FIND("- ",Table3[[#This Row],[Statement Code]])+2,100)</f>
        <v>MARKET VALUE</v>
      </c>
      <c r="D1557" s="602" t="s">
        <v>3278</v>
      </c>
      <c r="E1557" s="601" t="s">
        <v>3279</v>
      </c>
      <c r="F1557" s="601" t="s">
        <v>551</v>
      </c>
      <c r="G1557" s="601">
        <v>5048.67</v>
      </c>
      <c r="H1557" s="601">
        <v>2275.54</v>
      </c>
      <c r="I1557" s="601">
        <v>4468.91</v>
      </c>
      <c r="J1557" s="601">
        <v>3007.59</v>
      </c>
      <c r="K1557" s="601">
        <v>2349.19</v>
      </c>
      <c r="L1557" s="601">
        <v>3704.6</v>
      </c>
    </row>
    <row r="1558" spans="1:12" hidden="1">
      <c r="A1558" s="601" t="s">
        <v>3300</v>
      </c>
      <c r="B1558" s="601" t="str">
        <f t="shared" si="24"/>
        <v xml:space="preserve">NORDSTROM </v>
      </c>
      <c r="C1558" s="601" t="str">
        <f>MID(Table3[[#This Row],[Statement Code]],FIND("- ",Table3[[#This Row],[Statement Code]])+2,100)</f>
        <v>EARNINGS PER SHR</v>
      </c>
      <c r="D1558" s="602" t="s">
        <v>3301</v>
      </c>
      <c r="E1558" s="601" t="s">
        <v>3279</v>
      </c>
      <c r="F1558" s="601" t="s">
        <v>551</v>
      </c>
      <c r="G1558" s="601">
        <v>2.99</v>
      </c>
      <c r="H1558" s="601">
        <v>0</v>
      </c>
      <c r="I1558" s="601">
        <v>0.02</v>
      </c>
      <c r="J1558" s="601">
        <v>2.5299999999999998</v>
      </c>
      <c r="K1558" s="601">
        <v>0.2</v>
      </c>
      <c r="L1558" s="601">
        <v>1.73</v>
      </c>
    </row>
    <row r="1559" spans="1:12" hidden="1">
      <c r="A1559" s="601" t="s">
        <v>3284</v>
      </c>
      <c r="B1559" s="601" t="e">
        <f t="shared" si="24"/>
        <v>#VALUE!</v>
      </c>
      <c r="C1559" s="601" t="e">
        <f>MID(Table3[[#This Row],[Statement Code]],FIND("- ",Table3[[#This Row],[Statement Code]])+2,100)</f>
        <v>#VALUE!</v>
      </c>
      <c r="D1559" s="602" t="s">
        <v>3302</v>
      </c>
      <c r="E1559" s="601" t="s">
        <v>3279</v>
      </c>
      <c r="F1559" s="601" t="s">
        <v>23</v>
      </c>
      <c r="G1559" s="601">
        <v>1.2154</v>
      </c>
      <c r="H1559" s="601">
        <v>1.5181</v>
      </c>
      <c r="I1559" s="601">
        <v>1.4464999999999999</v>
      </c>
      <c r="J1559" s="601">
        <v>1.4923999999999999</v>
      </c>
      <c r="K1559" s="601">
        <v>1.5391999999999999</v>
      </c>
      <c r="L1559" s="601">
        <v>1.5609999999999999</v>
      </c>
    </row>
    <row r="1560" spans="1:12" hidden="1">
      <c r="A1560" s="601" t="s">
        <v>3284</v>
      </c>
      <c r="B1560" s="601" t="e">
        <f t="shared" si="24"/>
        <v>#VALUE!</v>
      </c>
      <c r="C1560" s="601" t="e">
        <f>MID(Table3[[#This Row],[Statement Code]],FIND("- ",Table3[[#This Row],[Statement Code]])+2,100)</f>
        <v>#VALUE!</v>
      </c>
      <c r="D1560" s="602" t="s">
        <v>3303</v>
      </c>
      <c r="E1560" s="601" t="s">
        <v>3279</v>
      </c>
      <c r="F1560" s="601" t="s">
        <v>23</v>
      </c>
      <c r="G1560" s="601">
        <v>0.36849999999999999</v>
      </c>
      <c r="H1560" s="601">
        <v>0.49120000000000003</v>
      </c>
      <c r="I1560" s="601">
        <v>0.55269999999999997</v>
      </c>
      <c r="J1560" s="601">
        <v>0.63039999999999996</v>
      </c>
      <c r="K1560" s="601">
        <v>0.66539999999999999</v>
      </c>
      <c r="L1560" s="601">
        <v>0.66049999999999998</v>
      </c>
    </row>
    <row r="1561" spans="1:12" hidden="1">
      <c r="A1561" s="601" t="s">
        <v>3304</v>
      </c>
      <c r="B1561" s="601" t="str">
        <f t="shared" si="24"/>
        <v xml:space="preserve">NORDSTROM, </v>
      </c>
      <c r="C1561" s="601" t="str">
        <f>MID(Table3[[#This Row],[Statement Code]],FIND("- ",Table3[[#This Row],[Statement Code]])+2,100)</f>
        <v>ACCOUNTS PAYABLE</v>
      </c>
      <c r="D1561" s="602" t="s">
        <v>3305</v>
      </c>
      <c r="E1561" s="601" t="s">
        <v>3279</v>
      </c>
      <c r="F1561" s="601" t="s">
        <v>551</v>
      </c>
      <c r="G1561" s="601">
        <v>1576000</v>
      </c>
      <c r="H1561" s="601">
        <v>1960000</v>
      </c>
      <c r="I1561" s="601">
        <v>1529000</v>
      </c>
      <c r="J1561" s="601">
        <v>1238000</v>
      </c>
      <c r="K1561" s="601">
        <v>1236000</v>
      </c>
      <c r="L1561" s="601" t="s">
        <v>23</v>
      </c>
    </row>
    <row r="1562" spans="1:12" hidden="1">
      <c r="A1562" s="601" t="s">
        <v>3306</v>
      </c>
      <c r="B1562" s="601" t="str">
        <f t="shared" si="24"/>
        <v xml:space="preserve">NORDSTROM, </v>
      </c>
      <c r="C1562" s="601" t="str">
        <f>MID(Table3[[#This Row],[Statement Code]],FIND("- ",Table3[[#This Row],[Statement Code]])+2,100)</f>
        <v>AMORTIZATION OF DEFERRED CHARG</v>
      </c>
      <c r="D1562" s="602" t="s">
        <v>3307</v>
      </c>
      <c r="E1562" s="601" t="s">
        <v>3279</v>
      </c>
      <c r="F1562" s="601" t="s">
        <v>551</v>
      </c>
      <c r="G1562" s="601">
        <v>10000</v>
      </c>
      <c r="H1562" s="601" t="s">
        <v>23</v>
      </c>
      <c r="I1562" s="601">
        <v>0</v>
      </c>
      <c r="J1562" s="601">
        <v>0</v>
      </c>
      <c r="K1562" s="601">
        <v>0</v>
      </c>
      <c r="L1562" s="601" t="s">
        <v>23</v>
      </c>
    </row>
    <row r="1563" spans="1:12" hidden="1">
      <c r="A1563" s="601" t="s">
        <v>3308</v>
      </c>
      <c r="B1563" s="601" t="str">
        <f t="shared" si="24"/>
        <v xml:space="preserve">NORDSTROM, </v>
      </c>
      <c r="C1563" s="601" t="str">
        <f>MID(Table3[[#This Row],[Statement Code]],FIND("- ",Table3[[#This Row],[Statement Code]])+2,100)</f>
        <v>AMORTIZATION-INTANGIBLE ASSETS</v>
      </c>
      <c r="D1563" s="602" t="s">
        <v>3309</v>
      </c>
      <c r="E1563" s="601" t="s">
        <v>3279</v>
      </c>
      <c r="F1563" s="601" t="s">
        <v>551</v>
      </c>
      <c r="G1563" s="601">
        <v>17000</v>
      </c>
      <c r="H1563" s="601">
        <v>4000</v>
      </c>
      <c r="I1563" s="601" t="s">
        <v>23</v>
      </c>
      <c r="J1563" s="601" t="s">
        <v>23</v>
      </c>
      <c r="K1563" s="601" t="s">
        <v>23</v>
      </c>
      <c r="L1563" s="601" t="s">
        <v>23</v>
      </c>
    </row>
    <row r="1564" spans="1:12" hidden="1">
      <c r="A1564" s="601" t="s">
        <v>3310</v>
      </c>
      <c r="B1564" s="601" t="str">
        <f t="shared" si="24"/>
        <v xml:space="preserve">NORDSTROM, </v>
      </c>
      <c r="C1564" s="601" t="str">
        <f>MID(Table3[[#This Row],[Statement Code]],FIND("- ",Table3[[#This Row],[Statement Code]])+2,100)</f>
        <v>AMORTIZATION OF INTANGIBLES</v>
      </c>
      <c r="D1564" s="602" t="s">
        <v>3311</v>
      </c>
      <c r="E1564" s="601" t="s">
        <v>3279</v>
      </c>
      <c r="F1564" s="601" t="s">
        <v>551</v>
      </c>
      <c r="G1564" s="601">
        <v>7000</v>
      </c>
      <c r="H1564" s="601">
        <v>4000</v>
      </c>
      <c r="I1564" s="601" t="s">
        <v>23</v>
      </c>
      <c r="J1564" s="601" t="s">
        <v>23</v>
      </c>
      <c r="K1564" s="601" t="s">
        <v>23</v>
      </c>
      <c r="L1564" s="601" t="s">
        <v>23</v>
      </c>
    </row>
    <row r="1565" spans="1:12" hidden="1">
      <c r="A1565" s="601" t="s">
        <v>3312</v>
      </c>
      <c r="B1565" s="601" t="str">
        <f t="shared" si="24"/>
        <v xml:space="preserve">NORDSTROM, </v>
      </c>
      <c r="C1565" s="601" t="str">
        <f>MID(Table3[[#This Row],[Statement Code]],FIND("- ",Table3[[#This Row],[Statement Code]])+2,100)</f>
        <v>BOOK VALUE-OUT SHARES-FISCAL</v>
      </c>
      <c r="D1565" s="602" t="s">
        <v>3313</v>
      </c>
      <c r="E1565" s="601" t="s">
        <v>3279</v>
      </c>
      <c r="F1565" s="601" t="s">
        <v>551</v>
      </c>
      <c r="G1565" s="601">
        <v>6.2919999999999998</v>
      </c>
      <c r="H1565" s="601">
        <v>1.9330000000000001</v>
      </c>
      <c r="I1565" s="601">
        <v>3.645</v>
      </c>
      <c r="J1565" s="601">
        <v>4.6159999999999997</v>
      </c>
      <c r="K1565" s="601">
        <v>5.2220000000000004</v>
      </c>
      <c r="L1565" s="601" t="s">
        <v>23</v>
      </c>
    </row>
    <row r="1566" spans="1:12" hidden="1">
      <c r="A1566" s="601" t="s">
        <v>3314</v>
      </c>
      <c r="B1566" s="601" t="str">
        <f t="shared" si="24"/>
        <v xml:space="preserve">NORDSTROM, </v>
      </c>
      <c r="C1566" s="601" t="str">
        <f>MID(Table3[[#This Row],[Statement Code]],FIND("- ",Table3[[#This Row],[Statement Code]])+2,100)</f>
        <v>BOOK VALUE PER SHARE</v>
      </c>
      <c r="D1566" s="602" t="s">
        <v>3315</v>
      </c>
      <c r="E1566" s="601" t="s">
        <v>3279</v>
      </c>
      <c r="F1566" s="601" t="s">
        <v>551</v>
      </c>
      <c r="G1566" s="601">
        <v>6.2919999999999998</v>
      </c>
      <c r="H1566" s="601">
        <v>1.9330000000000001</v>
      </c>
      <c r="I1566" s="601">
        <v>3.645</v>
      </c>
      <c r="J1566" s="601">
        <v>4.6159999999999997</v>
      </c>
      <c r="K1566" s="601">
        <v>5.2220000000000004</v>
      </c>
      <c r="L1566" s="601" t="s">
        <v>23</v>
      </c>
    </row>
    <row r="1567" spans="1:12">
      <c r="A1567" s="601" t="s">
        <v>3316</v>
      </c>
      <c r="B1567" s="601" t="str">
        <f t="shared" si="24"/>
        <v xml:space="preserve">NORDSTROM, </v>
      </c>
      <c r="C1567" s="601" t="str">
        <f>MID(Table3[[#This Row],[Statement Code]],FIND("- ",Table3[[#This Row],[Statement Code]])+2,100)</f>
        <v>CAPITAL EXPENDITURES</v>
      </c>
      <c r="D1567" s="602" t="s">
        <v>3317</v>
      </c>
      <c r="E1567" s="601" t="s">
        <v>3279</v>
      </c>
      <c r="F1567" s="601" t="s">
        <v>551</v>
      </c>
      <c r="G1567" s="601">
        <v>935000</v>
      </c>
      <c r="H1567" s="601">
        <v>385000</v>
      </c>
      <c r="I1567" s="601">
        <v>506000</v>
      </c>
      <c r="J1567" s="601">
        <v>473000</v>
      </c>
      <c r="K1567" s="601">
        <v>569000</v>
      </c>
      <c r="L1567" s="601" t="s">
        <v>23</v>
      </c>
    </row>
    <row r="1568" spans="1:12" hidden="1">
      <c r="A1568" s="601" t="s">
        <v>3318</v>
      </c>
      <c r="B1568" s="601" t="str">
        <f t="shared" si="24"/>
        <v xml:space="preserve">NORDSTROM, </v>
      </c>
      <c r="C1568" s="601" t="str">
        <f>MID(Table3[[#This Row],[Statement Code]],FIND("- ",Table3[[#This Row],[Statement Code]])+2,100)</f>
        <v>CASH</v>
      </c>
      <c r="D1568" s="602" t="s">
        <v>3319</v>
      </c>
      <c r="E1568" s="601" t="s">
        <v>3279</v>
      </c>
      <c r="F1568" s="601" t="s">
        <v>551</v>
      </c>
      <c r="G1568" s="601">
        <v>853000</v>
      </c>
      <c r="H1568" s="601">
        <v>681000</v>
      </c>
      <c r="I1568" s="601">
        <v>322000</v>
      </c>
      <c r="J1568" s="601">
        <v>687000</v>
      </c>
      <c r="K1568" s="601">
        <v>628000</v>
      </c>
      <c r="L1568" s="601" t="s">
        <v>23</v>
      </c>
    </row>
    <row r="1569" spans="1:12" hidden="1">
      <c r="A1569" s="601" t="s">
        <v>3320</v>
      </c>
      <c r="B1569" s="601" t="str">
        <f t="shared" si="24"/>
        <v xml:space="preserve">NORDSTROM, </v>
      </c>
      <c r="C1569" s="601" t="str">
        <f>MID(Table3[[#This Row],[Statement Code]],FIND("- ",Table3[[#This Row],[Statement Code]])+2,100)</f>
        <v>CASH - GENERIC</v>
      </c>
      <c r="D1569" s="602" t="s">
        <v>3321</v>
      </c>
      <c r="E1569" s="601" t="s">
        <v>3279</v>
      </c>
      <c r="F1569" s="601" t="s">
        <v>551</v>
      </c>
      <c r="G1569" s="601">
        <v>853000</v>
      </c>
      <c r="H1569" s="601">
        <v>681000</v>
      </c>
      <c r="I1569" s="601">
        <v>322000</v>
      </c>
      <c r="J1569" s="601">
        <v>687000</v>
      </c>
      <c r="K1569" s="601">
        <v>628000</v>
      </c>
      <c r="L1569" s="601" t="s">
        <v>23</v>
      </c>
    </row>
    <row r="1570" spans="1:12">
      <c r="A1570" s="601" t="s">
        <v>3322</v>
      </c>
      <c r="B1570" s="601" t="str">
        <f t="shared" si="24"/>
        <v xml:space="preserve">NORDSTROM, </v>
      </c>
      <c r="C1570" s="601" t="str">
        <f>MID(Table3[[#This Row],[Statement Code]],FIND("- ",Table3[[#This Row],[Statement Code]])+2,100)</f>
        <v>CASH &amp; SHORT TERM INVESTMENTS</v>
      </c>
      <c r="D1570" s="602" t="s">
        <v>3323</v>
      </c>
      <c r="E1570" s="601" t="s">
        <v>3279</v>
      </c>
      <c r="F1570" s="601" t="s">
        <v>551</v>
      </c>
      <c r="G1570" s="601">
        <v>853000</v>
      </c>
      <c r="H1570" s="601">
        <v>681000</v>
      </c>
      <c r="I1570" s="601">
        <v>322000</v>
      </c>
      <c r="J1570" s="601">
        <v>687000</v>
      </c>
      <c r="K1570" s="601">
        <v>628000</v>
      </c>
      <c r="L1570" s="601" t="s">
        <v>23</v>
      </c>
    </row>
    <row r="1571" spans="1:12" hidden="1">
      <c r="A1571" s="601" t="s">
        <v>3324</v>
      </c>
      <c r="B1571" s="601" t="str">
        <f t="shared" si="24"/>
        <v xml:space="preserve">NORDSTROM, </v>
      </c>
      <c r="C1571" s="601" t="str">
        <f>MID(Table3[[#This Row],[Statement Code]],FIND("- ",Table3[[#This Row],[Statement Code]])+2,100)</f>
        <v>CASH DIVIDENDS PAID - TOTAL</v>
      </c>
      <c r="D1571" s="602" t="s">
        <v>3325</v>
      </c>
      <c r="E1571" s="601" t="s">
        <v>3279</v>
      </c>
      <c r="F1571" s="601" t="s">
        <v>551</v>
      </c>
      <c r="G1571" s="601">
        <v>229000</v>
      </c>
      <c r="H1571" s="601">
        <v>58000</v>
      </c>
      <c r="I1571" s="601">
        <v>0</v>
      </c>
      <c r="J1571" s="601">
        <v>119000</v>
      </c>
      <c r="K1571" s="601">
        <v>123000</v>
      </c>
      <c r="L1571" s="601" t="s">
        <v>23</v>
      </c>
    </row>
    <row r="1572" spans="1:12" hidden="1">
      <c r="A1572" s="601" t="s">
        <v>3326</v>
      </c>
      <c r="B1572" s="601" t="str">
        <f t="shared" si="24"/>
        <v xml:space="preserve">NORDSTROM, </v>
      </c>
      <c r="C1572" s="601" t="str">
        <f>MID(Table3[[#This Row],[Statement Code]],FIND("- ",Table3[[#This Row],[Statement Code]])+2,100)</f>
        <v>CASH FLOW PER SHARE</v>
      </c>
      <c r="D1572" s="602" t="s">
        <v>3327</v>
      </c>
      <c r="E1572" s="601" t="s">
        <v>3279</v>
      </c>
      <c r="F1572" s="601" t="s">
        <v>551</v>
      </c>
      <c r="G1572" s="601">
        <v>9.423</v>
      </c>
      <c r="H1572" s="601">
        <v>2.226</v>
      </c>
      <c r="I1572" s="601">
        <v>6.8739999999999997</v>
      </c>
      <c r="J1572" s="601">
        <v>6.44</v>
      </c>
      <c r="K1572" s="601">
        <v>6.4989999999999997</v>
      </c>
      <c r="L1572" s="601" t="s">
        <v>23</v>
      </c>
    </row>
    <row r="1573" spans="1:12" hidden="1">
      <c r="A1573" s="601" t="s">
        <v>3328</v>
      </c>
      <c r="B1573" s="601" t="str">
        <f t="shared" si="24"/>
        <v xml:space="preserve">NORDSTROM, </v>
      </c>
      <c r="C1573" s="601" t="str">
        <f>MID(Table3[[#This Row],[Statement Code]],FIND("- ",Table3[[#This Row],[Statement Code]])+2,100)</f>
        <v>CASH FLOW PER SHARE - FIS YR</v>
      </c>
      <c r="D1573" s="602" t="s">
        <v>3329</v>
      </c>
      <c r="E1573" s="601" t="s">
        <v>3279</v>
      </c>
      <c r="F1573" s="601" t="s">
        <v>551</v>
      </c>
      <c r="G1573" s="601">
        <v>9.423</v>
      </c>
      <c r="H1573" s="601">
        <v>2.226</v>
      </c>
      <c r="I1573" s="601">
        <v>6.8739999999999997</v>
      </c>
      <c r="J1573" s="601">
        <v>6.44</v>
      </c>
      <c r="K1573" s="601">
        <v>6.4989999999999997</v>
      </c>
      <c r="L1573" s="601" t="s">
        <v>23</v>
      </c>
    </row>
    <row r="1574" spans="1:12" hidden="1">
      <c r="A1574" s="601" t="s">
        <v>3330</v>
      </c>
      <c r="B1574" s="601" t="str">
        <f t="shared" si="24"/>
        <v xml:space="preserve">NORDSTROM, </v>
      </c>
      <c r="C1574" s="601" t="str">
        <f>MID(Table3[[#This Row],[Statement Code]],FIND("- ",Table3[[#This Row],[Statement Code]])+2,100)</f>
        <v>COMMON DIVIDENDS (CASH)</v>
      </c>
      <c r="D1574" s="602" t="s">
        <v>3331</v>
      </c>
      <c r="E1574" s="601" t="s">
        <v>3279</v>
      </c>
      <c r="F1574" s="601" t="s">
        <v>551</v>
      </c>
      <c r="G1574" s="601">
        <v>229000</v>
      </c>
      <c r="H1574" s="601">
        <v>58000</v>
      </c>
      <c r="I1574" s="601">
        <v>0</v>
      </c>
      <c r="J1574" s="601">
        <v>119000</v>
      </c>
      <c r="K1574" s="601">
        <v>123000</v>
      </c>
      <c r="L1574" s="601" t="s">
        <v>23</v>
      </c>
    </row>
    <row r="1575" spans="1:12" hidden="1">
      <c r="A1575" s="601" t="s">
        <v>3332</v>
      </c>
      <c r="B1575" s="601" t="str">
        <f t="shared" si="24"/>
        <v xml:space="preserve">NORDSTROM, </v>
      </c>
      <c r="C1575" s="601" t="str">
        <f>MID(Table3[[#This Row],[Statement Code]],FIND("- ",Table3[[#This Row],[Statement Code]])+2,100)</f>
        <v>COMMON SHAREHOLDERS' EQUITY</v>
      </c>
      <c r="D1575" s="602" t="s">
        <v>3333</v>
      </c>
      <c r="E1575" s="601" t="s">
        <v>3279</v>
      </c>
      <c r="F1575" s="601" t="s">
        <v>551</v>
      </c>
      <c r="G1575" s="601">
        <v>979000</v>
      </c>
      <c r="H1575" s="601">
        <v>305000</v>
      </c>
      <c r="I1575" s="601">
        <v>581000</v>
      </c>
      <c r="J1575" s="601">
        <v>739000</v>
      </c>
      <c r="K1575" s="601">
        <v>848000</v>
      </c>
      <c r="L1575" s="601" t="s">
        <v>23</v>
      </c>
    </row>
    <row r="1576" spans="1:12">
      <c r="A1576" s="601" t="s">
        <v>3334</v>
      </c>
      <c r="B1576" s="601" t="str">
        <f t="shared" si="24"/>
        <v xml:space="preserve">NORDSTROM, </v>
      </c>
      <c r="C1576" s="601" t="str">
        <f>MID(Table3[[#This Row],[Statement Code]],FIND("- ",Table3[[#This Row],[Statement Code]])+2,100)</f>
        <v>COMMON STOCK</v>
      </c>
      <c r="D1576" s="602" t="s">
        <v>3335</v>
      </c>
      <c r="E1576" s="601" t="s">
        <v>3279</v>
      </c>
      <c r="F1576" s="601" t="s">
        <v>551</v>
      </c>
      <c r="G1576" s="601">
        <v>3129000</v>
      </c>
      <c r="H1576" s="601">
        <v>3205000</v>
      </c>
      <c r="I1576" s="601">
        <v>3283000</v>
      </c>
      <c r="J1576" s="601">
        <v>3353000</v>
      </c>
      <c r="K1576" s="601">
        <v>3418000</v>
      </c>
      <c r="L1576" s="601" t="s">
        <v>23</v>
      </c>
    </row>
    <row r="1577" spans="1:12" hidden="1">
      <c r="A1577" s="601" t="s">
        <v>3336</v>
      </c>
      <c r="B1577" s="601" t="str">
        <f t="shared" si="24"/>
        <v xml:space="preserve">NORDSTROM, </v>
      </c>
      <c r="C1577" s="601" t="str">
        <f>MID(Table3[[#This Row],[Statement Code]],FIND("- ",Table3[[#This Row],[Statement Code]])+2,100)</f>
        <v>COST OF GOODS SOLD (EXCL DEP)</v>
      </c>
      <c r="D1577" s="602" t="s">
        <v>3337</v>
      </c>
      <c r="E1577" s="601" t="s">
        <v>3279</v>
      </c>
      <c r="F1577" s="601" t="s">
        <v>551</v>
      </c>
      <c r="G1577" s="601">
        <v>9261000</v>
      </c>
      <c r="H1577" s="601">
        <v>6900000</v>
      </c>
      <c r="I1577" s="601">
        <v>8729000</v>
      </c>
      <c r="J1577" s="601">
        <v>9345000</v>
      </c>
      <c r="K1577" s="601">
        <v>8685000</v>
      </c>
      <c r="L1577" s="601" t="s">
        <v>23</v>
      </c>
    </row>
    <row r="1578" spans="1:12">
      <c r="A1578" s="601" t="s">
        <v>3338</v>
      </c>
      <c r="B1578" s="601" t="str">
        <f t="shared" si="24"/>
        <v xml:space="preserve">NORDSTROM, </v>
      </c>
      <c r="C1578" s="601" t="str">
        <f>MID(Table3[[#This Row],[Statement Code]],FIND("- ",Table3[[#This Row],[Statement Code]])+2,100)</f>
        <v>CURRENT ASSETS - TOTAL</v>
      </c>
      <c r="D1578" s="602" t="s">
        <v>3339</v>
      </c>
      <c r="E1578" s="601" t="s">
        <v>3279</v>
      </c>
      <c r="F1578" s="601" t="s">
        <v>551</v>
      </c>
      <c r="G1578" s="601">
        <v>3230000</v>
      </c>
      <c r="H1578" s="601">
        <v>3642000</v>
      </c>
      <c r="I1578" s="601">
        <v>3172000</v>
      </c>
      <c r="J1578" s="601">
        <v>3209000</v>
      </c>
      <c r="K1578" s="601">
        <v>3136000</v>
      </c>
      <c r="L1578" s="601" t="s">
        <v>23</v>
      </c>
    </row>
    <row r="1579" spans="1:12">
      <c r="A1579" s="601" t="s">
        <v>3340</v>
      </c>
      <c r="B1579" s="601" t="str">
        <f t="shared" si="24"/>
        <v xml:space="preserve">NORDSTROM, </v>
      </c>
      <c r="C1579" s="601" t="str">
        <f>MID(Table3[[#This Row],[Statement Code]],FIND("- ",Table3[[#This Row],[Statement Code]])+2,100)</f>
        <v>CURRENT LIABILITIES-TOTAL</v>
      </c>
      <c r="D1579" s="602" t="s">
        <v>3341</v>
      </c>
      <c r="E1579" s="601" t="s">
        <v>3279</v>
      </c>
      <c r="F1579" s="601" t="s">
        <v>551</v>
      </c>
      <c r="G1579" s="601">
        <v>3520000</v>
      </c>
      <c r="H1579" s="601">
        <v>4120000</v>
      </c>
      <c r="I1579" s="601">
        <v>3314000</v>
      </c>
      <c r="J1579" s="601">
        <v>2990000</v>
      </c>
      <c r="K1579" s="601">
        <v>3072000</v>
      </c>
      <c r="L1579" s="601" t="s">
        <v>23</v>
      </c>
    </row>
    <row r="1580" spans="1:12" hidden="1">
      <c r="A1580" s="601" t="s">
        <v>3342</v>
      </c>
      <c r="B1580" s="601" t="str">
        <f t="shared" si="24"/>
        <v xml:space="preserve">NORDSTROM, </v>
      </c>
      <c r="C1580" s="601" t="str">
        <f>MID(Table3[[#This Row],[Statement Code]],FIND("- ",Table3[[#This Row],[Statement Code]])+2,100)</f>
        <v>DEPRECIATION AND DEPLETION</v>
      </c>
      <c r="D1580" s="602" t="s">
        <v>3343</v>
      </c>
      <c r="E1580" s="601" t="s">
        <v>3279</v>
      </c>
      <c r="F1580" s="601" t="s">
        <v>551</v>
      </c>
      <c r="G1580" s="601">
        <v>654000</v>
      </c>
      <c r="H1580" s="601">
        <v>671000</v>
      </c>
      <c r="I1580" s="601">
        <v>615000</v>
      </c>
      <c r="J1580" s="601">
        <v>604000</v>
      </c>
      <c r="K1580" s="601">
        <v>586000</v>
      </c>
      <c r="L1580" s="601" t="s">
        <v>23</v>
      </c>
    </row>
    <row r="1581" spans="1:12">
      <c r="A1581" s="601" t="s">
        <v>3344</v>
      </c>
      <c r="B1581" s="601" t="str">
        <f t="shared" si="24"/>
        <v xml:space="preserve">NORDSTROM, </v>
      </c>
      <c r="C1581" s="601" t="str">
        <f>MID(Table3[[#This Row],[Statement Code]],FIND("- ",Table3[[#This Row],[Statement Code]])+2,100)</f>
        <v>DEPRECIATION/DEPLETION/AMORT</v>
      </c>
      <c r="D1581" s="602" t="s">
        <v>3345</v>
      </c>
      <c r="E1581" s="601" t="s">
        <v>3279</v>
      </c>
      <c r="F1581" s="601" t="s">
        <v>551</v>
      </c>
      <c r="G1581" s="601">
        <v>671000</v>
      </c>
      <c r="H1581" s="601">
        <v>675000</v>
      </c>
      <c r="I1581" s="601">
        <v>615000</v>
      </c>
      <c r="J1581" s="601">
        <v>604000</v>
      </c>
      <c r="K1581" s="601">
        <v>586000</v>
      </c>
      <c r="L1581" s="601" t="s">
        <v>23</v>
      </c>
    </row>
    <row r="1582" spans="1:12" hidden="1">
      <c r="A1582" s="601" t="s">
        <v>3346</v>
      </c>
      <c r="B1582" s="601" t="str">
        <f t="shared" si="24"/>
        <v xml:space="preserve">NORDSTROM, </v>
      </c>
      <c r="C1582" s="601" t="str">
        <f>MID(Table3[[#This Row],[Statement Code]],FIND("- ",Table3[[#This Row],[Statement Code]])+2,100)</f>
        <v>DIVIDENDS PER SHARE</v>
      </c>
      <c r="D1582" s="602" t="s">
        <v>3347</v>
      </c>
      <c r="E1582" s="601" t="s">
        <v>3279</v>
      </c>
      <c r="F1582" s="601" t="s">
        <v>551</v>
      </c>
      <c r="G1582" s="601">
        <v>1.48</v>
      </c>
      <c r="H1582" s="601">
        <v>0.37</v>
      </c>
      <c r="I1582" s="601">
        <v>0</v>
      </c>
      <c r="J1582" s="601">
        <v>0.76</v>
      </c>
      <c r="K1582" s="601">
        <v>0.76</v>
      </c>
      <c r="L1582" s="601" t="s">
        <v>23</v>
      </c>
    </row>
    <row r="1583" spans="1:12" hidden="1">
      <c r="A1583" s="601" t="s">
        <v>3348</v>
      </c>
      <c r="B1583" s="601" t="str">
        <f t="shared" si="24"/>
        <v xml:space="preserve">NORDSTROM, </v>
      </c>
      <c r="C1583" s="601" t="str">
        <f>MID(Table3[[#This Row],[Statement Code]],FIND("- ",Table3[[#This Row],[Statement Code]])+2,100)</f>
        <v>DIVIDENDS PER SHARE - FISCAL</v>
      </c>
      <c r="D1583" s="602" t="s">
        <v>3349</v>
      </c>
      <c r="E1583" s="601" t="s">
        <v>3279</v>
      </c>
      <c r="F1583" s="601" t="s">
        <v>551</v>
      </c>
      <c r="G1583" s="601">
        <v>1.48</v>
      </c>
      <c r="H1583" s="601">
        <v>0.37</v>
      </c>
      <c r="I1583" s="601">
        <v>0</v>
      </c>
      <c r="J1583" s="601">
        <v>0.76</v>
      </c>
      <c r="K1583" s="601">
        <v>0.76</v>
      </c>
      <c r="L1583" s="601" t="s">
        <v>23</v>
      </c>
    </row>
    <row r="1584" spans="1:12">
      <c r="A1584" s="601" t="s">
        <v>3350</v>
      </c>
      <c r="B1584" s="601" t="str">
        <f t="shared" si="24"/>
        <v xml:space="preserve">NORDSTROM, </v>
      </c>
      <c r="C1584" s="601" t="str">
        <f>MID(Table3[[#This Row],[Statement Code]],FIND("- ",Table3[[#This Row],[Statement Code]])+2,100)</f>
        <v>EARNINGS BEF INTEREST &amp; TAXES</v>
      </c>
      <c r="D1584" s="602" t="s">
        <v>3351</v>
      </c>
      <c r="E1584" s="601" t="s">
        <v>3279</v>
      </c>
      <c r="F1584" s="601" t="s">
        <v>551</v>
      </c>
      <c r="G1584" s="601">
        <v>794000</v>
      </c>
      <c r="H1584" s="601">
        <v>-1044000</v>
      </c>
      <c r="I1584" s="601">
        <v>493000</v>
      </c>
      <c r="J1584" s="601">
        <v>475000</v>
      </c>
      <c r="K1584" s="601">
        <v>284000</v>
      </c>
      <c r="L1584" s="601" t="s">
        <v>23</v>
      </c>
    </row>
    <row r="1585" spans="1:12" hidden="1">
      <c r="A1585" s="601" t="s">
        <v>3352</v>
      </c>
      <c r="B1585" s="601" t="str">
        <f t="shared" si="24"/>
        <v xml:space="preserve">NORDSTROM, </v>
      </c>
      <c r="C1585" s="601" t="str">
        <f>MID(Table3[[#This Row],[Statement Code]],FIND("- ",Table3[[#This Row],[Statement Code]])+2,100)</f>
        <v>EBIT &amp; DEPRECIATION</v>
      </c>
      <c r="D1585" s="602" t="s">
        <v>3353</v>
      </c>
      <c r="E1585" s="601" t="s">
        <v>3279</v>
      </c>
      <c r="F1585" s="601" t="s">
        <v>551</v>
      </c>
      <c r="G1585" s="601">
        <v>1465000</v>
      </c>
      <c r="H1585" s="601">
        <v>-369000</v>
      </c>
      <c r="I1585" s="601">
        <v>1108000</v>
      </c>
      <c r="J1585" s="601">
        <v>1079000</v>
      </c>
      <c r="K1585" s="601">
        <v>870000</v>
      </c>
      <c r="L1585" s="601" t="s">
        <v>23</v>
      </c>
    </row>
    <row r="1586" spans="1:12" hidden="1">
      <c r="A1586" s="601" t="s">
        <v>3354</v>
      </c>
      <c r="B1586" s="601" t="str">
        <f t="shared" si="24"/>
        <v xml:space="preserve">NORDSTROM, </v>
      </c>
      <c r="C1586" s="601" t="str">
        <f>MID(Table3[[#This Row],[Statement Code]],FIND("- ",Table3[[#This Row],[Statement Code]])+2,100)</f>
        <v>EARNINGS PER SHARE</v>
      </c>
      <c r="D1586" s="602" t="s">
        <v>3355</v>
      </c>
      <c r="E1586" s="601" t="s">
        <v>3279</v>
      </c>
      <c r="F1586" s="601" t="s">
        <v>551</v>
      </c>
      <c r="G1586" s="601">
        <v>3.177</v>
      </c>
      <c r="H1586" s="601">
        <v>-4.3890000000000002</v>
      </c>
      <c r="I1586" s="601">
        <v>1.095</v>
      </c>
      <c r="J1586" s="601">
        <v>1.5109999999999999</v>
      </c>
      <c r="K1586" s="601">
        <v>0.82</v>
      </c>
      <c r="L1586" s="601" t="s">
        <v>23</v>
      </c>
    </row>
    <row r="1587" spans="1:12" hidden="1">
      <c r="A1587" s="601" t="s">
        <v>3356</v>
      </c>
      <c r="B1587" s="601" t="str">
        <f t="shared" si="24"/>
        <v xml:space="preserve">NORDSTROM, </v>
      </c>
      <c r="C1587" s="601" t="str">
        <f>MID(Table3[[#This Row],[Statement Code]],FIND("- ",Table3[[#This Row],[Statement Code]])+2,100)</f>
        <v>FISCAL EPS-FULLY DILUTED-YR</v>
      </c>
      <c r="D1587" s="602" t="s">
        <v>3357</v>
      </c>
      <c r="E1587" s="601" t="s">
        <v>3279</v>
      </c>
      <c r="F1587" s="601" t="s">
        <v>551</v>
      </c>
      <c r="G1587" s="601">
        <v>3.177</v>
      </c>
      <c r="H1587" s="601">
        <v>-4.3890000000000002</v>
      </c>
      <c r="I1587" s="601">
        <v>1.095</v>
      </c>
      <c r="J1587" s="601">
        <v>1.5109999999999999</v>
      </c>
      <c r="K1587" s="601">
        <v>0.82</v>
      </c>
      <c r="L1587" s="601" t="s">
        <v>23</v>
      </c>
    </row>
    <row r="1588" spans="1:12" hidden="1">
      <c r="A1588" s="601" t="s">
        <v>3358</v>
      </c>
      <c r="B1588" s="601" t="str">
        <f t="shared" si="24"/>
        <v xml:space="preserve">NORDSTROM, </v>
      </c>
      <c r="C1588" s="601" t="str">
        <f>MID(Table3[[#This Row],[Statement Code]],FIND("- ",Table3[[#This Row],[Statement Code]])+2,100)</f>
        <v>ENTERPRISE VALUE</v>
      </c>
      <c r="D1588" s="602" t="s">
        <v>3359</v>
      </c>
      <c r="E1588" s="601" t="s">
        <v>3279</v>
      </c>
      <c r="F1588" s="601" t="s">
        <v>551</v>
      </c>
      <c r="G1588" s="601">
        <v>7558416</v>
      </c>
      <c r="H1588" s="601">
        <v>8182010</v>
      </c>
      <c r="I1588" s="601">
        <v>6013890</v>
      </c>
      <c r="J1588" s="601">
        <v>5118042</v>
      </c>
      <c r="K1588" s="601">
        <v>5176688</v>
      </c>
      <c r="L1588" s="601" t="s">
        <v>23</v>
      </c>
    </row>
    <row r="1589" spans="1:12">
      <c r="A1589" s="601" t="s">
        <v>3360</v>
      </c>
      <c r="B1589" s="601" t="str">
        <f t="shared" si="24"/>
        <v xml:space="preserve">NORDSTROM, </v>
      </c>
      <c r="C1589" s="601" t="str">
        <f>MID(Table3[[#This Row],[Statement Code]],FIND("- ",Table3[[#This Row],[Statement Code]])+2,100)</f>
        <v>GROSS INCOME</v>
      </c>
      <c r="D1589" s="602" t="s">
        <v>3361</v>
      </c>
      <c r="E1589" s="601" t="s">
        <v>3279</v>
      </c>
      <c r="F1589" s="601" t="s">
        <v>551</v>
      </c>
      <c r="G1589" s="601">
        <v>5592000</v>
      </c>
      <c r="H1589" s="601">
        <v>3140000</v>
      </c>
      <c r="I1589" s="601">
        <v>5445000</v>
      </c>
      <c r="J1589" s="601">
        <v>5581000</v>
      </c>
      <c r="K1589" s="601">
        <v>5422000</v>
      </c>
      <c r="L1589" s="601" t="s">
        <v>23</v>
      </c>
    </row>
    <row r="1590" spans="1:12">
      <c r="A1590" s="601" t="s">
        <v>3362</v>
      </c>
      <c r="B1590" s="601" t="str">
        <f t="shared" si="24"/>
        <v xml:space="preserve">NORDSTROM, </v>
      </c>
      <c r="C1590" s="601" t="str">
        <f>MID(Table3[[#This Row],[Statement Code]],FIND("- ",Table3[[#This Row],[Statement Code]])+2,100)</f>
        <v>INCOME TAXES</v>
      </c>
      <c r="D1590" s="602" t="s">
        <v>3363</v>
      </c>
      <c r="E1590" s="601" t="s">
        <v>3279</v>
      </c>
      <c r="F1590" s="601" t="s">
        <v>551</v>
      </c>
      <c r="G1590" s="601">
        <v>186000</v>
      </c>
      <c r="H1590" s="601">
        <v>-538000</v>
      </c>
      <c r="I1590" s="601">
        <v>68000</v>
      </c>
      <c r="J1590" s="601">
        <v>92000</v>
      </c>
      <c r="K1590" s="601">
        <v>13000</v>
      </c>
      <c r="L1590" s="601" t="s">
        <v>23</v>
      </c>
    </row>
    <row r="1591" spans="1:12" hidden="1">
      <c r="A1591" s="601" t="s">
        <v>3364</v>
      </c>
      <c r="B1591" s="601" t="str">
        <f t="shared" si="24"/>
        <v xml:space="preserve">NORDSTROM, </v>
      </c>
      <c r="C1591" s="601" t="str">
        <f>MID(Table3[[#This Row],[Statement Code]],FIND("- ",Table3[[#This Row],[Statement Code]])+2,100)</f>
        <v>INCREASE/DECREASE IN CASH/SHOR</v>
      </c>
      <c r="D1591" s="602" t="s">
        <v>3365</v>
      </c>
      <c r="E1591" s="601" t="s">
        <v>3279</v>
      </c>
      <c r="F1591" s="601" t="s">
        <v>551</v>
      </c>
      <c r="G1591" s="601">
        <v>-104000</v>
      </c>
      <c r="H1591" s="601">
        <v>-172000</v>
      </c>
      <c r="I1591" s="601">
        <v>-359000</v>
      </c>
      <c r="J1591" s="601">
        <v>365000</v>
      </c>
      <c r="K1591" s="601">
        <v>-59000</v>
      </c>
      <c r="L1591" s="601" t="s">
        <v>23</v>
      </c>
    </row>
    <row r="1592" spans="1:12">
      <c r="A1592" s="601" t="s">
        <v>3366</v>
      </c>
      <c r="B1592" s="601" t="str">
        <f t="shared" si="24"/>
        <v xml:space="preserve">NORDSTROM, </v>
      </c>
      <c r="C1592" s="601" t="str">
        <f>MID(Table3[[#This Row],[Statement Code]],FIND("- ",Table3[[#This Row],[Statement Code]])+2,100)</f>
        <v>INTEREST EXPENSE ON DEBT</v>
      </c>
      <c r="D1592" s="602" t="s">
        <v>3367</v>
      </c>
      <c r="E1592" s="601" t="s">
        <v>3279</v>
      </c>
      <c r="F1592" s="601" t="s">
        <v>551</v>
      </c>
      <c r="G1592" s="601">
        <v>151000</v>
      </c>
      <c r="H1592" s="601">
        <v>199000</v>
      </c>
      <c r="I1592" s="601">
        <v>258000</v>
      </c>
      <c r="J1592" s="601">
        <v>150000</v>
      </c>
      <c r="K1592" s="601">
        <v>150000</v>
      </c>
      <c r="L1592" s="601" t="s">
        <v>23</v>
      </c>
    </row>
    <row r="1593" spans="1:12" hidden="1">
      <c r="A1593" s="601" t="s">
        <v>3368</v>
      </c>
      <c r="B1593" s="601" t="str">
        <f t="shared" si="24"/>
        <v xml:space="preserve">NORDSTROM, </v>
      </c>
      <c r="C1593" s="601" t="str">
        <f>MID(Table3[[#This Row],[Statement Code]],FIND("- ",Table3[[#This Row],[Statement Code]])+2,100)</f>
        <v>TOTAL INVENTORIES</v>
      </c>
      <c r="D1593" s="602" t="s">
        <v>3369</v>
      </c>
      <c r="E1593" s="601" t="s">
        <v>3279</v>
      </c>
      <c r="F1593" s="601" t="s">
        <v>551</v>
      </c>
      <c r="G1593" s="601">
        <v>1920000</v>
      </c>
      <c r="H1593" s="601">
        <v>1863000</v>
      </c>
      <c r="I1593" s="601">
        <v>2289000</v>
      </c>
      <c r="J1593" s="601">
        <v>1941000</v>
      </c>
      <c r="K1593" s="601">
        <v>1888000</v>
      </c>
      <c r="L1593" s="601" t="s">
        <v>23</v>
      </c>
    </row>
    <row r="1594" spans="1:12">
      <c r="A1594" s="601" t="s">
        <v>3370</v>
      </c>
      <c r="B1594" s="601" t="str">
        <f t="shared" si="24"/>
        <v xml:space="preserve">NORDSTROM, </v>
      </c>
      <c r="C1594" s="601" t="str">
        <f>MID(Table3[[#This Row],[Statement Code]],FIND("- ",Table3[[#This Row],[Statement Code]])+2,100)</f>
        <v>LONG TERM DEBT</v>
      </c>
      <c r="D1594" s="602" t="s">
        <v>3371</v>
      </c>
      <c r="E1594" s="601" t="s">
        <v>3279</v>
      </c>
      <c r="F1594" s="601" t="s">
        <v>551</v>
      </c>
      <c r="G1594" s="601">
        <v>2676000</v>
      </c>
      <c r="H1594" s="601">
        <v>2769000</v>
      </c>
      <c r="I1594" s="601">
        <v>2853000</v>
      </c>
      <c r="J1594" s="601">
        <v>2856000</v>
      </c>
      <c r="K1594" s="601">
        <v>2612000</v>
      </c>
      <c r="L1594" s="601" t="s">
        <v>23</v>
      </c>
    </row>
    <row r="1595" spans="1:12" hidden="1">
      <c r="A1595" s="601" t="s">
        <v>3372</v>
      </c>
      <c r="B1595" s="601" t="str">
        <f t="shared" si="24"/>
        <v xml:space="preserve">NORDSTROM, </v>
      </c>
      <c r="C1595" s="601" t="str">
        <f>MID(Table3[[#This Row],[Statement Code]],FIND("- ",Table3[[#This Row],[Statement Code]])+2,100)</f>
        <v>MARKET CAPITALIZATION</v>
      </c>
      <c r="D1595" s="602" t="s">
        <v>3373</v>
      </c>
      <c r="E1595" s="601" t="s">
        <v>3279</v>
      </c>
      <c r="F1595" s="601" t="s">
        <v>551</v>
      </c>
      <c r="G1595" s="601">
        <v>6368708</v>
      </c>
      <c r="H1595" s="601">
        <v>4924938</v>
      </c>
      <c r="I1595" s="601">
        <v>3605628</v>
      </c>
      <c r="J1595" s="601">
        <v>2584014</v>
      </c>
      <c r="K1595" s="601">
        <v>2996280</v>
      </c>
      <c r="L1595" s="601" t="s">
        <v>23</v>
      </c>
    </row>
    <row r="1596" spans="1:12" hidden="1">
      <c r="A1596" s="601" t="s">
        <v>3374</v>
      </c>
      <c r="B1596" s="601" t="str">
        <f t="shared" si="24"/>
        <v xml:space="preserve">NORDSTROM, </v>
      </c>
      <c r="C1596" s="601" t="str">
        <f>MID(Table3[[#This Row],[Statement Code]],FIND("- ",Table3[[#This Row],[Statement Code]])+2,100)</f>
        <v>NET CASH FLOW - FINANCING</v>
      </c>
      <c r="D1596" s="602" t="s">
        <v>3375</v>
      </c>
      <c r="E1596" s="601" t="s">
        <v>3279</v>
      </c>
      <c r="F1596" s="601" t="s">
        <v>551</v>
      </c>
      <c r="G1596" s="601">
        <v>-431000</v>
      </c>
      <c r="H1596" s="601">
        <v>530000</v>
      </c>
      <c r="I1596" s="601">
        <v>-544000</v>
      </c>
      <c r="J1596" s="601">
        <v>-186000</v>
      </c>
      <c r="K1596" s="601">
        <v>-109000</v>
      </c>
      <c r="L1596" s="601" t="s">
        <v>23</v>
      </c>
    </row>
    <row r="1597" spans="1:12" hidden="1">
      <c r="A1597" s="601" t="s">
        <v>3376</v>
      </c>
      <c r="B1597" s="601" t="str">
        <f t="shared" si="24"/>
        <v xml:space="preserve">NORDSTROM, </v>
      </c>
      <c r="C1597" s="601" t="str">
        <f>MID(Table3[[#This Row],[Statement Code]],FIND("- ",Table3[[#This Row],[Statement Code]])+2,100)</f>
        <v>NET CASH FLOW - INVESTING</v>
      </c>
      <c r="D1597" s="602" t="s">
        <v>3377</v>
      </c>
      <c r="E1597" s="601" t="s">
        <v>3279</v>
      </c>
      <c r="F1597" s="601" t="s">
        <v>551</v>
      </c>
      <c r="G1597" s="601">
        <v>909000</v>
      </c>
      <c r="H1597" s="601">
        <v>347000</v>
      </c>
      <c r="I1597" s="601">
        <v>521000</v>
      </c>
      <c r="J1597" s="601">
        <v>393000</v>
      </c>
      <c r="K1597" s="601">
        <v>571000</v>
      </c>
      <c r="L1597" s="601" t="s">
        <v>23</v>
      </c>
    </row>
    <row r="1598" spans="1:12" hidden="1">
      <c r="A1598" s="601" t="s">
        <v>3378</v>
      </c>
      <c r="B1598" s="601" t="str">
        <f t="shared" si="24"/>
        <v xml:space="preserve">NORDSTROM, </v>
      </c>
      <c r="C1598" s="601" t="str">
        <f>MID(Table3[[#This Row],[Statement Code]],FIND("- ",Table3[[#This Row],[Statement Code]])+2,100)</f>
        <v>NET CASH FLOW-OPERATING ACTIVS</v>
      </c>
      <c r="D1598" s="602" t="s">
        <v>3379</v>
      </c>
      <c r="E1598" s="601" t="s">
        <v>3279</v>
      </c>
      <c r="F1598" s="601" t="s">
        <v>551</v>
      </c>
      <c r="G1598" s="601">
        <v>1236000</v>
      </c>
      <c r="H1598" s="601">
        <v>-348000</v>
      </c>
      <c r="I1598" s="601">
        <v>705000</v>
      </c>
      <c r="J1598" s="601">
        <v>946000</v>
      </c>
      <c r="K1598" s="601">
        <v>621000</v>
      </c>
      <c r="L1598" s="601" t="s">
        <v>23</v>
      </c>
    </row>
    <row r="1599" spans="1:12" hidden="1">
      <c r="A1599" s="601" t="s">
        <v>3380</v>
      </c>
      <c r="B1599" s="601" t="str">
        <f t="shared" si="24"/>
        <v xml:space="preserve">NORDSTROM, </v>
      </c>
      <c r="C1599" s="601" t="str">
        <f>MID(Table3[[#This Row],[Statement Code]],FIND("- ",Table3[[#This Row],[Statement Code]])+2,100)</f>
        <v>NET DEBT</v>
      </c>
      <c r="D1599" s="602" t="s">
        <v>3381</v>
      </c>
      <c r="E1599" s="601" t="s">
        <v>3279</v>
      </c>
      <c r="F1599" s="601" t="s">
        <v>551</v>
      </c>
      <c r="G1599" s="601">
        <v>1823000</v>
      </c>
      <c r="H1599" s="601">
        <v>2588000</v>
      </c>
      <c r="I1599" s="601">
        <v>2531000</v>
      </c>
      <c r="J1599" s="601">
        <v>2169000</v>
      </c>
      <c r="K1599" s="601">
        <v>2234000</v>
      </c>
      <c r="L1599" s="601" t="s">
        <v>23</v>
      </c>
    </row>
    <row r="1600" spans="1:12">
      <c r="A1600" s="601" t="s">
        <v>3382</v>
      </c>
      <c r="B1600" s="601" t="str">
        <f t="shared" si="24"/>
        <v xml:space="preserve">NORDSTROM, </v>
      </c>
      <c r="C1600" s="601" t="str">
        <f>MID(Table3[[#This Row],[Statement Code]],FIND("- ",Table3[[#This Row],[Statement Code]])+2,100)</f>
        <v>NET INCOME - DILUTED</v>
      </c>
      <c r="D1600" s="602" t="s">
        <v>3383</v>
      </c>
      <c r="E1600" s="601" t="s">
        <v>3279</v>
      </c>
      <c r="F1600" s="601" t="s">
        <v>551</v>
      </c>
      <c r="G1600" s="601">
        <v>496000</v>
      </c>
      <c r="H1600" s="601">
        <v>-690000</v>
      </c>
      <c r="I1600" s="601">
        <v>178000</v>
      </c>
      <c r="J1600" s="601">
        <v>245000</v>
      </c>
      <c r="K1600" s="601">
        <v>134000</v>
      </c>
      <c r="L1600" s="601" t="s">
        <v>23</v>
      </c>
    </row>
    <row r="1601" spans="1:12">
      <c r="A1601" s="601" t="s">
        <v>3384</v>
      </c>
      <c r="B1601" s="601" t="str">
        <f t="shared" si="24"/>
        <v xml:space="preserve">NORDSTROM, </v>
      </c>
      <c r="C1601" s="601" t="str">
        <f>MID(Table3[[#This Row],[Statement Code]],FIND("- ",Table3[[#This Row],[Statement Code]])+2,100)</f>
        <v>NET SALES OR REVENUES</v>
      </c>
      <c r="D1601" s="602" t="s">
        <v>3385</v>
      </c>
      <c r="E1601" s="601" t="s">
        <v>3279</v>
      </c>
      <c r="F1601" s="601" t="s">
        <v>551</v>
      </c>
      <c r="G1601" s="601">
        <v>15524000</v>
      </c>
      <c r="H1601" s="601">
        <v>10715000</v>
      </c>
      <c r="I1601" s="601">
        <v>14789000</v>
      </c>
      <c r="J1601" s="601">
        <v>15530000</v>
      </c>
      <c r="K1601" s="601">
        <v>14693000</v>
      </c>
      <c r="L1601" s="601" t="s">
        <v>23</v>
      </c>
    </row>
    <row r="1602" spans="1:12" hidden="1">
      <c r="A1602" s="601" t="s">
        <v>3386</v>
      </c>
      <c r="B1602" s="601" t="str">
        <f t="shared" si="24"/>
        <v xml:space="preserve">NORDSTROM, </v>
      </c>
      <c r="C1602" s="601" t="str">
        <f>MID(Table3[[#This Row],[Statement Code]],FIND("- ",Table3[[#This Row],[Statement Code]])+2,100)</f>
        <v>NON-OPERATING INTEREST INCOME</v>
      </c>
      <c r="D1602" s="602" t="s">
        <v>3387</v>
      </c>
      <c r="E1602" s="601" t="s">
        <v>3279</v>
      </c>
      <c r="F1602" s="601" t="s">
        <v>551</v>
      </c>
      <c r="G1602" s="601">
        <v>10000</v>
      </c>
      <c r="H1602" s="601">
        <v>3000</v>
      </c>
      <c r="I1602" s="601">
        <v>1000</v>
      </c>
      <c r="J1602" s="601">
        <v>10000</v>
      </c>
      <c r="K1602" s="601">
        <v>33000</v>
      </c>
      <c r="L1602" s="601" t="s">
        <v>23</v>
      </c>
    </row>
    <row r="1603" spans="1:12" hidden="1">
      <c r="A1603" s="601" t="s">
        <v>3388</v>
      </c>
      <c r="B1603" s="601" t="str">
        <f t="shared" ref="B1603:B1666" si="25">LEFT(A1603,FIND(" ",A1603))</f>
        <v xml:space="preserve">NORDSTROM, </v>
      </c>
      <c r="C1603" s="601" t="str">
        <f>MID(Table3[[#This Row],[Statement Code]],FIND("- ",Table3[[#This Row],[Statement Code]])+2,100)</f>
        <v>OPERATING EXPENSES - TOTAL</v>
      </c>
      <c r="D1603" s="602" t="s">
        <v>3389</v>
      </c>
      <c r="E1603" s="601" t="s">
        <v>3279</v>
      </c>
      <c r="F1603" s="601" t="s">
        <v>551</v>
      </c>
      <c r="G1603" s="601">
        <v>14740000</v>
      </c>
      <c r="H1603" s="601">
        <v>11537000</v>
      </c>
      <c r="I1603" s="601">
        <v>14297000</v>
      </c>
      <c r="J1603" s="601">
        <v>14995000</v>
      </c>
      <c r="K1603" s="601">
        <v>14126000</v>
      </c>
      <c r="L1603" s="601" t="s">
        <v>23</v>
      </c>
    </row>
    <row r="1604" spans="1:12">
      <c r="A1604" s="601" t="s">
        <v>3390</v>
      </c>
      <c r="B1604" s="601" t="str">
        <f t="shared" si="25"/>
        <v xml:space="preserve">NORDSTROM, </v>
      </c>
      <c r="C1604" s="601" t="str">
        <f>MID(Table3[[#This Row],[Statement Code]],FIND("- ",Table3[[#This Row],[Statement Code]])+2,100)</f>
        <v>OPERATING INCOME</v>
      </c>
      <c r="D1604" s="602" t="s">
        <v>3391</v>
      </c>
      <c r="E1604" s="601" t="s">
        <v>3279</v>
      </c>
      <c r="F1604" s="601" t="s">
        <v>551</v>
      </c>
      <c r="G1604" s="601">
        <v>784000</v>
      </c>
      <c r="H1604" s="601">
        <v>-822000</v>
      </c>
      <c r="I1604" s="601">
        <v>492000</v>
      </c>
      <c r="J1604" s="601">
        <v>535000</v>
      </c>
      <c r="K1604" s="601">
        <v>567000</v>
      </c>
      <c r="L1604" s="601" t="s">
        <v>23</v>
      </c>
    </row>
    <row r="1605" spans="1:12" hidden="1">
      <c r="A1605" s="601" t="s">
        <v>3392</v>
      </c>
      <c r="B1605" s="601" t="str">
        <f t="shared" si="25"/>
        <v xml:space="preserve">NORDSTROM, </v>
      </c>
      <c r="C1605" s="601" t="str">
        <f>MID(Table3[[#This Row],[Statement Code]],FIND("- ",Table3[[#This Row],[Statement Code]])+2,100)</f>
        <v>PRETAX INCOME</v>
      </c>
      <c r="D1605" s="602" t="s">
        <v>3393</v>
      </c>
      <c r="E1605" s="601" t="s">
        <v>3279</v>
      </c>
      <c r="F1605" s="601" t="s">
        <v>551</v>
      </c>
      <c r="G1605" s="601">
        <v>682000</v>
      </c>
      <c r="H1605" s="601">
        <v>-1228000</v>
      </c>
      <c r="I1605" s="601">
        <v>246000</v>
      </c>
      <c r="J1605" s="601">
        <v>337000</v>
      </c>
      <c r="K1605" s="601">
        <v>147000</v>
      </c>
      <c r="L1605" s="601" t="s">
        <v>23</v>
      </c>
    </row>
    <row r="1606" spans="1:12" hidden="1">
      <c r="A1606" s="601" t="s">
        <v>3394</v>
      </c>
      <c r="B1606" s="601" t="str">
        <f t="shared" si="25"/>
        <v xml:space="preserve">NORDSTROM, </v>
      </c>
      <c r="C1606" s="601" t="str">
        <f>MID(Table3[[#This Row],[Statement Code]],FIND("- ",Table3[[#This Row],[Statement Code]])+2,100)</f>
        <v>PROPERTY, PLANT &amp; EQUIP - NET</v>
      </c>
      <c r="D1606" s="602" t="s">
        <v>3395</v>
      </c>
      <c r="E1606" s="601" t="s">
        <v>3279</v>
      </c>
      <c r="F1606" s="601" t="s">
        <v>551</v>
      </c>
      <c r="G1606" s="601">
        <v>5953000</v>
      </c>
      <c r="H1606" s="601">
        <v>5313000</v>
      </c>
      <c r="I1606" s="601">
        <v>5058000</v>
      </c>
      <c r="J1606" s="601">
        <v>4821000</v>
      </c>
      <c r="K1606" s="601">
        <v>4536000</v>
      </c>
      <c r="L1606" s="601" t="s">
        <v>23</v>
      </c>
    </row>
    <row r="1607" spans="1:12" hidden="1">
      <c r="A1607" s="601" t="s">
        <v>3396</v>
      </c>
      <c r="B1607" s="601" t="str">
        <f t="shared" si="25"/>
        <v xml:space="preserve">NORDSTROM, </v>
      </c>
      <c r="C1607" s="601" t="str">
        <f>MID(Table3[[#This Row],[Statement Code]],FIND("- ",Table3[[#This Row],[Statement Code]])+2,100)</f>
        <v>RECEIVABLES(NET)</v>
      </c>
      <c r="D1607" s="602" t="s">
        <v>3397</v>
      </c>
      <c r="E1607" s="601" t="s">
        <v>3279</v>
      </c>
      <c r="F1607" s="601" t="s">
        <v>551</v>
      </c>
      <c r="G1607" s="601">
        <v>179000</v>
      </c>
      <c r="H1607" s="601">
        <v>245000</v>
      </c>
      <c r="I1607" s="601">
        <v>255000</v>
      </c>
      <c r="J1607" s="601">
        <v>265000</v>
      </c>
      <c r="K1607" s="601">
        <v>334000</v>
      </c>
      <c r="L1607" s="601" t="s">
        <v>23</v>
      </c>
    </row>
    <row r="1608" spans="1:12">
      <c r="A1608" s="601" t="s">
        <v>3398</v>
      </c>
      <c r="B1608" s="601" t="str">
        <f t="shared" si="25"/>
        <v xml:space="preserve">NORDSTROM, </v>
      </c>
      <c r="C1608" s="601" t="str">
        <f>MID(Table3[[#This Row],[Statement Code]],FIND("- ",Table3[[#This Row],[Statement Code]])+2,100)</f>
        <v>SELLING, GENERAL &amp; ADMINISTRAT</v>
      </c>
      <c r="D1608" s="602" t="s">
        <v>3399</v>
      </c>
      <c r="E1608" s="601" t="s">
        <v>3279</v>
      </c>
      <c r="F1608" s="601" t="s">
        <v>551</v>
      </c>
      <c r="G1608" s="601">
        <v>4808000</v>
      </c>
      <c r="H1608" s="601">
        <v>3962000</v>
      </c>
      <c r="I1608" s="601">
        <v>4953000</v>
      </c>
      <c r="J1608" s="601">
        <v>5046000</v>
      </c>
      <c r="K1608" s="601">
        <v>4855000</v>
      </c>
      <c r="L1608" s="601" t="s">
        <v>23</v>
      </c>
    </row>
    <row r="1609" spans="1:12" hidden="1">
      <c r="A1609" s="601" t="s">
        <v>3400</v>
      </c>
      <c r="B1609" s="601" t="str">
        <f t="shared" si="25"/>
        <v xml:space="preserve">NORDSTROM, </v>
      </c>
      <c r="C1609" s="601" t="str">
        <f>MID(Table3[[#This Row],[Statement Code]],FIND("- ",Table3[[#This Row],[Statement Code]])+2,100)</f>
        <v>SHORT TERM DEBT &amp; CURRENT PORT</v>
      </c>
      <c r="D1609" s="602" t="s">
        <v>3401</v>
      </c>
      <c r="E1609" s="601" t="s">
        <v>3279</v>
      </c>
      <c r="F1609" s="601" t="s">
        <v>551</v>
      </c>
      <c r="G1609" s="601">
        <v>0</v>
      </c>
      <c r="H1609" s="601">
        <v>500000</v>
      </c>
      <c r="I1609" s="601">
        <v>0</v>
      </c>
      <c r="J1609" s="601">
        <v>0</v>
      </c>
      <c r="K1609" s="601">
        <v>250000</v>
      </c>
      <c r="L1609" s="601" t="s">
        <v>23</v>
      </c>
    </row>
    <row r="1610" spans="1:12">
      <c r="A1610" s="601" t="s">
        <v>3402</v>
      </c>
      <c r="B1610" s="601" t="str">
        <f t="shared" si="25"/>
        <v xml:space="preserve">NORDSTROM, </v>
      </c>
      <c r="C1610" s="601" t="str">
        <f>MID(Table3[[#This Row],[Statement Code]],FIND("- ",Table3[[#This Row],[Statement Code]])+2,100)</f>
        <v>TOTAL ASSETS</v>
      </c>
      <c r="D1610" s="602" t="s">
        <v>3403</v>
      </c>
      <c r="E1610" s="601" t="s">
        <v>3279</v>
      </c>
      <c r="F1610" s="601" t="s">
        <v>551</v>
      </c>
      <c r="G1610" s="601">
        <v>9737000</v>
      </c>
      <c r="H1610" s="601">
        <v>9538000</v>
      </c>
      <c r="I1610" s="601">
        <v>8869000</v>
      </c>
      <c r="J1610" s="601">
        <v>8745000</v>
      </c>
      <c r="K1610" s="601">
        <v>8444000</v>
      </c>
      <c r="L1610" s="601" t="s">
        <v>23</v>
      </c>
    </row>
    <row r="1611" spans="1:12" hidden="1">
      <c r="A1611" s="601" t="s">
        <v>3404</v>
      </c>
      <c r="B1611" s="601" t="str">
        <f t="shared" si="25"/>
        <v xml:space="preserve">NORDSTROM, </v>
      </c>
      <c r="C1611" s="601" t="str">
        <f>MID(Table3[[#This Row],[Statement Code]],FIND("- ",Table3[[#This Row],[Statement Code]])+2,100)</f>
        <v>TOTAL CAPITAL</v>
      </c>
      <c r="D1611" s="602" t="s">
        <v>3405</v>
      </c>
      <c r="E1611" s="601" t="s">
        <v>3279</v>
      </c>
      <c r="F1611" s="601" t="s">
        <v>551</v>
      </c>
      <c r="G1611" s="601">
        <v>3655000</v>
      </c>
      <c r="H1611" s="601">
        <v>3074000</v>
      </c>
      <c r="I1611" s="601">
        <v>3434000</v>
      </c>
      <c r="J1611" s="601">
        <v>3595000</v>
      </c>
      <c r="K1611" s="601">
        <v>3460000</v>
      </c>
      <c r="L1611" s="601" t="s">
        <v>23</v>
      </c>
    </row>
    <row r="1612" spans="1:12">
      <c r="A1612" s="601" t="s">
        <v>3406</v>
      </c>
      <c r="B1612" s="601" t="str">
        <f t="shared" si="25"/>
        <v xml:space="preserve">NORDSTROM, </v>
      </c>
      <c r="C1612" s="601" t="str">
        <f>MID(Table3[[#This Row],[Statement Code]],FIND("- ",Table3[[#This Row],[Statement Code]])+2,100)</f>
        <v>TOTAL DEBT</v>
      </c>
      <c r="D1612" s="602" t="s">
        <v>3407</v>
      </c>
      <c r="E1612" s="601" t="s">
        <v>3279</v>
      </c>
      <c r="F1612" s="601" t="s">
        <v>551</v>
      </c>
      <c r="G1612" s="601">
        <v>2676000</v>
      </c>
      <c r="H1612" s="601">
        <v>3269000</v>
      </c>
      <c r="I1612" s="601">
        <v>2853000</v>
      </c>
      <c r="J1612" s="601">
        <v>2856000</v>
      </c>
      <c r="K1612" s="601">
        <v>2862000</v>
      </c>
      <c r="L1612" s="601" t="s">
        <v>23</v>
      </c>
    </row>
    <row r="1613" spans="1:12" hidden="1">
      <c r="A1613" s="601" t="s">
        <v>3408</v>
      </c>
      <c r="B1613" s="601" t="str">
        <f t="shared" si="25"/>
        <v xml:space="preserve">NORDSTROM, </v>
      </c>
      <c r="C1613" s="601" t="str">
        <f>MID(Table3[[#This Row],[Statement Code]],FIND("- ",Table3[[#This Row],[Statement Code]])+2,100)</f>
        <v>TOTAL INTANGIBLE OT ASSETS-NET</v>
      </c>
      <c r="D1613" s="602" t="s">
        <v>3409</v>
      </c>
      <c r="E1613" s="601" t="s">
        <v>3279</v>
      </c>
      <c r="F1613" s="601" t="s">
        <v>551</v>
      </c>
      <c r="G1613" s="601">
        <v>249000</v>
      </c>
      <c r="H1613" s="601">
        <v>249000</v>
      </c>
      <c r="I1613" s="601">
        <v>249000</v>
      </c>
      <c r="J1613" s="601">
        <v>249000</v>
      </c>
      <c r="K1613" s="601">
        <v>249000</v>
      </c>
      <c r="L1613" s="601" t="s">
        <v>23</v>
      </c>
    </row>
    <row r="1614" spans="1:12">
      <c r="A1614" s="601" t="s">
        <v>3410</v>
      </c>
      <c r="B1614" s="601" t="str">
        <f t="shared" si="25"/>
        <v xml:space="preserve">NORDSTROM, </v>
      </c>
      <c r="C1614" s="601" t="str">
        <f>MID(Table3[[#This Row],[Statement Code]],FIND("- ",Table3[[#This Row],[Statement Code]])+2,100)</f>
        <v>TOTAL LIABILITIES</v>
      </c>
      <c r="D1614" s="602" t="s">
        <v>3411</v>
      </c>
      <c r="E1614" s="601" t="s">
        <v>3279</v>
      </c>
      <c r="F1614" s="601" t="s">
        <v>551</v>
      </c>
      <c r="G1614" s="601">
        <v>8758000</v>
      </c>
      <c r="H1614" s="601">
        <v>9233000</v>
      </c>
      <c r="I1614" s="601">
        <v>8288000</v>
      </c>
      <c r="J1614" s="601">
        <v>8006000</v>
      </c>
      <c r="K1614" s="601">
        <v>7596000</v>
      </c>
      <c r="L1614" s="601" t="s">
        <v>23</v>
      </c>
    </row>
    <row r="1615" spans="1:12" hidden="1">
      <c r="A1615" s="601" t="s">
        <v>3412</v>
      </c>
      <c r="B1615" s="601" t="str">
        <f t="shared" si="25"/>
        <v xml:space="preserve">NORDSTROM, </v>
      </c>
      <c r="C1615" s="601" t="str">
        <f>MID(Table3[[#This Row],[Statement Code]],FIND("- ",Table3[[#This Row],[Statement Code]])+2,100)</f>
        <v>TOTAL LIABILITIES &amp; SHAREHOLDE</v>
      </c>
      <c r="D1615" s="602" t="s">
        <v>3413</v>
      </c>
      <c r="E1615" s="601" t="s">
        <v>3279</v>
      </c>
      <c r="F1615" s="601" t="s">
        <v>551</v>
      </c>
      <c r="G1615" s="601">
        <v>9737000</v>
      </c>
      <c r="H1615" s="601">
        <v>9538000</v>
      </c>
      <c r="I1615" s="601">
        <v>8869000</v>
      </c>
      <c r="J1615" s="601">
        <v>8745000</v>
      </c>
      <c r="K1615" s="601">
        <v>8444000</v>
      </c>
      <c r="L1615" s="601" t="s">
        <v>23</v>
      </c>
    </row>
    <row r="1616" spans="1:12" hidden="1">
      <c r="A1616" s="601" t="s">
        <v>3414</v>
      </c>
      <c r="B1616" s="601" t="str">
        <f t="shared" si="25"/>
        <v xml:space="preserve">NORDSTROM, </v>
      </c>
      <c r="C1616" s="601" t="str">
        <f>MID(Table3[[#This Row],[Statement Code]],FIND("- ",Table3[[#This Row],[Statement Code]])+2,100)</f>
        <v>TOTAL SHAREHOLDERS EQUITY</v>
      </c>
      <c r="D1616" s="602" t="s">
        <v>3415</v>
      </c>
      <c r="E1616" s="601" t="s">
        <v>3279</v>
      </c>
      <c r="F1616" s="601" t="s">
        <v>551</v>
      </c>
      <c r="G1616" s="601">
        <v>979000</v>
      </c>
      <c r="H1616" s="601">
        <v>305000</v>
      </c>
      <c r="I1616" s="601">
        <v>581000</v>
      </c>
      <c r="J1616" s="601">
        <v>739000</v>
      </c>
      <c r="K1616" s="601">
        <v>848000</v>
      </c>
      <c r="L1616" s="601" t="s">
        <v>23</v>
      </c>
    </row>
    <row r="1617" spans="1:12" hidden="1">
      <c r="A1617" s="601" t="s">
        <v>3416</v>
      </c>
      <c r="B1617" s="601" t="str">
        <f t="shared" si="25"/>
        <v xml:space="preserve">NORDSTROM, </v>
      </c>
      <c r="C1617" s="601" t="str">
        <f>MID(Table3[[#This Row],[Statement Code]],FIND("- ",Table3[[#This Row],[Statement Code]])+2,100)</f>
        <v>WORKING CAPITAL</v>
      </c>
      <c r="D1617" s="602" t="s">
        <v>3417</v>
      </c>
      <c r="E1617" s="601" t="s">
        <v>3279</v>
      </c>
      <c r="F1617" s="601" t="s">
        <v>551</v>
      </c>
      <c r="G1617" s="601">
        <v>-290000</v>
      </c>
      <c r="H1617" s="601">
        <v>-478000</v>
      </c>
      <c r="I1617" s="601">
        <v>-142000</v>
      </c>
      <c r="J1617" s="601">
        <v>219000</v>
      </c>
      <c r="K1617" s="601">
        <v>64000</v>
      </c>
      <c r="L1617" s="601" t="s">
        <v>23</v>
      </c>
    </row>
    <row r="1618" spans="1:12" hidden="1">
      <c r="A1618" s="601" t="s">
        <v>3418</v>
      </c>
      <c r="B1618" s="601" t="str">
        <f t="shared" si="25"/>
        <v xml:space="preserve">NORDSTROM </v>
      </c>
      <c r="C1618" s="601" t="str">
        <f>MID(Table3[[#This Row],[Statement Code]],FIND("- ",Table3[[#This Row],[Statement Code]])+2,100)</f>
        <v>BK VAL PS 12M FWD</v>
      </c>
      <c r="D1618" s="602" t="s">
        <v>3419</v>
      </c>
      <c r="E1618" s="601" t="s">
        <v>3279</v>
      </c>
      <c r="F1618" s="601" t="s">
        <v>551</v>
      </c>
      <c r="G1618" s="601">
        <v>6.6</v>
      </c>
      <c r="H1618" s="601">
        <v>2.83</v>
      </c>
      <c r="I1618" s="601">
        <v>2.69</v>
      </c>
      <c r="J1618" s="601">
        <v>5.72</v>
      </c>
      <c r="K1618" s="601">
        <v>5.93</v>
      </c>
      <c r="L1618" s="601">
        <v>7.05</v>
      </c>
    </row>
    <row r="1619" spans="1:12" hidden="1">
      <c r="A1619" s="601" t="s">
        <v>3420</v>
      </c>
      <c r="B1619" s="601" t="str">
        <f t="shared" si="25"/>
        <v xml:space="preserve">NORDSTROM </v>
      </c>
      <c r="C1619" s="601" t="str">
        <f>MID(Table3[[#This Row],[Statement Code]],FIND("- ",Table3[[#This Row],[Statement Code]])+2,100)</f>
        <v>EV 12M FWD</v>
      </c>
      <c r="D1619" s="602" t="s">
        <v>3421</v>
      </c>
      <c r="E1619" s="601" t="s">
        <v>3279</v>
      </c>
      <c r="F1619" s="601" t="s">
        <v>551</v>
      </c>
      <c r="G1619" s="601">
        <v>6694297</v>
      </c>
      <c r="H1619" s="601">
        <v>4452438</v>
      </c>
      <c r="I1619" s="601">
        <v>6621793</v>
      </c>
      <c r="J1619" s="601">
        <v>5704910</v>
      </c>
      <c r="K1619" s="601">
        <v>4405547</v>
      </c>
      <c r="L1619" s="601">
        <v>6218465</v>
      </c>
    </row>
    <row r="1620" spans="1:12" hidden="1">
      <c r="A1620" s="601" t="s">
        <v>3422</v>
      </c>
      <c r="B1620" s="601" t="str">
        <f t="shared" si="25"/>
        <v xml:space="preserve">NORDSTROM </v>
      </c>
      <c r="C1620" s="601" t="str">
        <f>MID(Table3[[#This Row],[Statement Code]],FIND("- ",Table3[[#This Row],[Statement Code]])+2,100)</f>
        <v>NET INCOME 12M FWD</v>
      </c>
      <c r="D1620" s="602" t="s">
        <v>3423</v>
      </c>
      <c r="E1620" s="601" t="s">
        <v>3279</v>
      </c>
      <c r="F1620" s="601" t="s">
        <v>551</v>
      </c>
      <c r="G1620" s="601">
        <v>517189.9</v>
      </c>
      <c r="H1620" s="601">
        <v>-56583.3</v>
      </c>
      <c r="I1620" s="601">
        <v>327000</v>
      </c>
      <c r="J1620" s="601">
        <v>407676.8</v>
      </c>
      <c r="K1620" s="601">
        <v>323163.3</v>
      </c>
      <c r="L1620" s="601">
        <v>323790.5</v>
      </c>
    </row>
    <row r="1621" spans="1:12" hidden="1">
      <c r="A1621" s="601" t="s">
        <v>3424</v>
      </c>
      <c r="B1621" s="601" t="str">
        <f t="shared" si="25"/>
        <v xml:space="preserve">NORDSTROM </v>
      </c>
      <c r="C1621" s="601" t="str">
        <f>MID(Table3[[#This Row],[Statement Code]],FIND("- ",Table3[[#This Row],[Statement Code]])+2,100)</f>
        <v>PRETAX PRF 12M FWD</v>
      </c>
      <c r="D1621" s="602" t="s">
        <v>3425</v>
      </c>
      <c r="E1621" s="601" t="s">
        <v>3279</v>
      </c>
      <c r="F1621" s="601" t="s">
        <v>551</v>
      </c>
      <c r="G1621" s="601">
        <v>700650.9</v>
      </c>
      <c r="H1621" s="601">
        <v>-114523.4</v>
      </c>
      <c r="I1621" s="601">
        <v>454616.7</v>
      </c>
      <c r="J1621" s="601">
        <v>560849.9</v>
      </c>
      <c r="K1621" s="601">
        <v>427823.5</v>
      </c>
      <c r="L1621" s="601">
        <v>428009.8</v>
      </c>
    </row>
    <row r="1622" spans="1:12" hidden="1">
      <c r="A1622" s="601" t="s">
        <v>3426</v>
      </c>
      <c r="B1622" s="601" t="str">
        <f t="shared" si="25"/>
        <v xml:space="preserve">NORDSTROM </v>
      </c>
      <c r="C1622" s="601" t="str">
        <f>MID(Table3[[#This Row],[Statement Code]],FIND("- ",Table3[[#This Row],[Statement Code]])+2,100)</f>
        <v>ROE 12M FWD</v>
      </c>
      <c r="D1622" s="602" t="s">
        <v>3427</v>
      </c>
      <c r="E1622" s="601" t="s">
        <v>3279</v>
      </c>
      <c r="F1622" s="601" t="s">
        <v>551</v>
      </c>
      <c r="G1622" s="601">
        <v>74.58</v>
      </c>
      <c r="H1622" s="601">
        <v>8.66</v>
      </c>
      <c r="I1622" s="601">
        <v>76.75</v>
      </c>
      <c r="J1622" s="601">
        <v>49.9</v>
      </c>
      <c r="K1622" s="601">
        <v>34.42</v>
      </c>
      <c r="L1622" s="601">
        <v>27.22</v>
      </c>
    </row>
    <row r="1623" spans="1:12" hidden="1">
      <c r="A1623" s="601" t="s">
        <v>3428</v>
      </c>
      <c r="B1623" s="601" t="str">
        <f t="shared" si="25"/>
        <v xml:space="preserve">NORDSTROM </v>
      </c>
      <c r="C1623" s="601" t="str">
        <f>MID(Table3[[#This Row],[Statement Code]],FIND("- ",Table3[[#This Row],[Statement Code]])+2,100)</f>
        <v>SALES 12M FWD</v>
      </c>
      <c r="D1623" s="602" t="s">
        <v>3429</v>
      </c>
      <c r="E1623" s="601" t="s">
        <v>3279</v>
      </c>
      <c r="F1623" s="601" t="s">
        <v>551</v>
      </c>
      <c r="G1623" s="601">
        <v>15850000</v>
      </c>
      <c r="H1623" s="601">
        <v>12853940</v>
      </c>
      <c r="I1623" s="601">
        <v>14909580</v>
      </c>
      <c r="J1623" s="601">
        <v>15766130</v>
      </c>
      <c r="K1623" s="601">
        <v>14738500</v>
      </c>
      <c r="L1623" s="601">
        <v>14957230</v>
      </c>
    </row>
    <row r="1624" spans="1:12" hidden="1">
      <c r="A1624" s="601" t="s">
        <v>3430</v>
      </c>
      <c r="B1624" s="601" t="str">
        <f t="shared" si="25"/>
        <v xml:space="preserve">NORDSTROM, </v>
      </c>
      <c r="C1624" s="601" t="str">
        <f>MID(Table3[[#This Row],[Statement Code]],FIND("- ",Table3[[#This Row],[Statement Code]])+2,100)</f>
        <v>DECREASE/INCREASE RECEIVABLES</v>
      </c>
      <c r="D1624" s="602" t="s">
        <v>3431</v>
      </c>
      <c r="E1624" s="601" t="s">
        <v>3279</v>
      </c>
      <c r="F1624" s="601" t="s">
        <v>551</v>
      </c>
      <c r="G1624" s="601">
        <v>82000</v>
      </c>
      <c r="H1624" s="601">
        <v>-46000</v>
      </c>
      <c r="I1624" s="601">
        <v>-10000</v>
      </c>
      <c r="J1624" s="601">
        <v>23000</v>
      </c>
      <c r="K1624" s="601" t="s">
        <v>23</v>
      </c>
      <c r="L1624" s="601" t="s">
        <v>23</v>
      </c>
    </row>
    <row r="1625" spans="1:12" hidden="1">
      <c r="A1625" s="601" t="s">
        <v>3432</v>
      </c>
      <c r="B1625" s="601" t="str">
        <f t="shared" si="25"/>
        <v xml:space="preserve">NORDSTROM, </v>
      </c>
      <c r="C1625" s="601" t="str">
        <f>MID(Table3[[#This Row],[Statement Code]],FIND("- ",Table3[[#This Row],[Statement Code]])+2,100)</f>
        <v>DECREASE/INCR OTH ASTS/LIABILT</v>
      </c>
      <c r="D1625" s="602" t="s">
        <v>3433</v>
      </c>
      <c r="E1625" s="601" t="s">
        <v>3279</v>
      </c>
      <c r="F1625" s="601" t="s">
        <v>551</v>
      </c>
      <c r="G1625" s="601">
        <v>-115000</v>
      </c>
      <c r="H1625" s="601">
        <v>-743000</v>
      </c>
      <c r="I1625" s="601">
        <v>634000</v>
      </c>
      <c r="J1625" s="601">
        <v>167000</v>
      </c>
      <c r="K1625" s="601">
        <v>-106000</v>
      </c>
      <c r="L1625" s="601" t="s">
        <v>23</v>
      </c>
    </row>
    <row r="1626" spans="1:12" hidden="1">
      <c r="A1626" s="601" t="s">
        <v>3434</v>
      </c>
      <c r="B1626" s="601" t="str">
        <f t="shared" si="25"/>
        <v xml:space="preserve">NORDSTROM, </v>
      </c>
      <c r="C1626" s="601" t="str">
        <f>MID(Table3[[#This Row],[Statement Code]],FIND("- ",Table3[[#This Row],[Statement Code]])+2,100)</f>
        <v>DECREASE/INCREASE INVENTORIES</v>
      </c>
      <c r="D1626" s="602" t="s">
        <v>3435</v>
      </c>
      <c r="E1626" s="601" t="s">
        <v>3279</v>
      </c>
      <c r="F1626" s="601" t="s">
        <v>551</v>
      </c>
      <c r="G1626" s="601">
        <v>30000</v>
      </c>
      <c r="H1626" s="601">
        <v>53000</v>
      </c>
      <c r="I1626" s="601">
        <v>-383000</v>
      </c>
      <c r="J1626" s="601">
        <v>265000</v>
      </c>
      <c r="K1626" s="601">
        <v>-61000</v>
      </c>
      <c r="L1626" s="601" t="s">
        <v>23</v>
      </c>
    </row>
    <row r="1627" spans="1:12" hidden="1">
      <c r="A1627" s="601" t="s">
        <v>3436</v>
      </c>
      <c r="B1627" s="601" t="str">
        <f t="shared" si="25"/>
        <v xml:space="preserve">NORDSTROM, </v>
      </c>
      <c r="C1627" s="601" t="str">
        <f>MID(Table3[[#This Row],[Statement Code]],FIND("- ",Table3[[#This Row],[Statement Code]])+2,100)</f>
        <v>DECREASE IN INVESTMENTS</v>
      </c>
      <c r="D1627" s="602" t="s">
        <v>3437</v>
      </c>
      <c r="E1627" s="601" t="s">
        <v>3279</v>
      </c>
      <c r="F1627" s="601" t="s">
        <v>551</v>
      </c>
      <c r="G1627" s="601">
        <v>0</v>
      </c>
      <c r="H1627" s="601">
        <v>0</v>
      </c>
      <c r="I1627" s="601">
        <v>0</v>
      </c>
      <c r="J1627" s="601">
        <v>0</v>
      </c>
      <c r="K1627" s="601">
        <v>0</v>
      </c>
      <c r="L1627" s="601" t="s">
        <v>23</v>
      </c>
    </row>
    <row r="1628" spans="1:12" hidden="1">
      <c r="A1628" s="601" t="s">
        <v>3438</v>
      </c>
      <c r="B1628" s="601" t="str">
        <f t="shared" si="25"/>
        <v xml:space="preserve">TILLY'S </v>
      </c>
      <c r="C1628" s="601" t="str">
        <f>MID(Table3[[#This Row],[Statement Code]],FIND("- ",Table3[[#This Row],[Statement Code]])+2,100)</f>
        <v>MARKET VALUE</v>
      </c>
      <c r="D1628" s="602" t="s">
        <v>3439</v>
      </c>
      <c r="E1628" s="601" t="s">
        <v>3440</v>
      </c>
      <c r="F1628" s="601" t="s">
        <v>551</v>
      </c>
      <c r="G1628" s="601">
        <v>222.49</v>
      </c>
      <c r="H1628" s="601">
        <v>160.71</v>
      </c>
      <c r="I1628" s="601">
        <v>343.65</v>
      </c>
      <c r="J1628" s="601">
        <v>167.39</v>
      </c>
      <c r="K1628" s="601">
        <v>179.19</v>
      </c>
      <c r="L1628" s="601">
        <v>116.51</v>
      </c>
    </row>
    <row r="1629" spans="1:12" hidden="1">
      <c r="A1629" s="601" t="s">
        <v>3441</v>
      </c>
      <c r="B1629" s="601" t="str">
        <f t="shared" si="25"/>
        <v xml:space="preserve">TILLY'S </v>
      </c>
      <c r="C1629" s="601" t="str">
        <f>MID(Table3[[#This Row],[Statement Code]],FIND("- ",Table3[[#This Row],[Statement Code]])+2,100)</f>
        <v>PER</v>
      </c>
      <c r="D1629" s="602" t="s">
        <v>3442</v>
      </c>
      <c r="E1629" s="601" t="s">
        <v>3440</v>
      </c>
      <c r="F1629" s="601" t="s">
        <v>551</v>
      </c>
      <c r="G1629" s="601">
        <v>12.6</v>
      </c>
      <c r="H1629" s="601">
        <v>478</v>
      </c>
      <c r="I1629" s="601">
        <v>10.5</v>
      </c>
      <c r="J1629" s="601">
        <v>6.1</v>
      </c>
      <c r="K1629" s="601" t="s">
        <v>23</v>
      </c>
      <c r="L1629" s="601" t="s">
        <v>23</v>
      </c>
    </row>
    <row r="1630" spans="1:12" hidden="1">
      <c r="A1630" s="601" t="s">
        <v>3443</v>
      </c>
      <c r="B1630" s="601" t="str">
        <f t="shared" si="25"/>
        <v xml:space="preserve">TILLY'S </v>
      </c>
      <c r="C1630" s="601" t="str">
        <f>MID(Table3[[#This Row],[Statement Code]],FIND("- ",Table3[[#This Row],[Statement Code]])+2,100)</f>
        <v>12MTH FORWARD EPS</v>
      </c>
      <c r="D1630" s="602" t="s">
        <v>3444</v>
      </c>
      <c r="E1630" s="601" t="s">
        <v>3440</v>
      </c>
      <c r="F1630" s="601" t="s">
        <v>551</v>
      </c>
      <c r="G1630" s="601">
        <v>0.79800000000000004</v>
      </c>
      <c r="H1630" s="601">
        <v>0.30299999999999999</v>
      </c>
      <c r="I1630" s="601">
        <v>1.5029999999999999</v>
      </c>
      <c r="J1630" s="601">
        <v>0.45300000000000001</v>
      </c>
      <c r="K1630" s="601">
        <v>-0.21299999999999999</v>
      </c>
      <c r="L1630" s="601">
        <v>-0.74299999999999999</v>
      </c>
    </row>
    <row r="1631" spans="1:12" hidden="1">
      <c r="A1631" s="601" t="s">
        <v>3445</v>
      </c>
      <c r="B1631" s="601" t="str">
        <f t="shared" si="25"/>
        <v xml:space="preserve">TILLY'S </v>
      </c>
      <c r="C1631" s="601" t="e">
        <f>MID(Table3[[#This Row],[Statement Code]],FIND("- ",Table3[[#This Row],[Statement Code]])+2,100)</f>
        <v>#VALUE!</v>
      </c>
      <c r="D1631" s="602" t="s">
        <v>3446</v>
      </c>
      <c r="E1631" s="601" t="s">
        <v>3440</v>
      </c>
      <c r="F1631" s="601" t="s">
        <v>551</v>
      </c>
      <c r="G1631" s="601">
        <v>9.8320000000000007</v>
      </c>
      <c r="H1631" s="601">
        <v>3.95</v>
      </c>
      <c r="I1631" s="601">
        <v>10.29</v>
      </c>
      <c r="J1631" s="601">
        <v>6.4950000000000001</v>
      </c>
      <c r="K1631" s="601">
        <v>-2.714</v>
      </c>
      <c r="L1631" s="601">
        <v>-15.39</v>
      </c>
    </row>
    <row r="1632" spans="1:12" hidden="1">
      <c r="A1632" s="601" t="s">
        <v>3445</v>
      </c>
      <c r="B1632" s="601" t="str">
        <f t="shared" si="25"/>
        <v xml:space="preserve">TILLY'S </v>
      </c>
      <c r="C1632" s="601" t="e">
        <f>MID(Table3[[#This Row],[Statement Code]],FIND("- ",Table3[[#This Row],[Statement Code]])+2,100)</f>
        <v>#VALUE!</v>
      </c>
      <c r="D1632" s="602" t="s">
        <v>3447</v>
      </c>
      <c r="E1632" s="601" t="s">
        <v>3440</v>
      </c>
      <c r="F1632" s="601" t="s">
        <v>551</v>
      </c>
      <c r="G1632" s="601">
        <v>5.1849999999999996</v>
      </c>
      <c r="H1632" s="601">
        <v>7.2720000000000002</v>
      </c>
      <c r="I1632" s="601">
        <v>4.8559999999999999</v>
      </c>
      <c r="J1632" s="601">
        <v>5.165</v>
      </c>
      <c r="K1632" s="601">
        <v>-11.772</v>
      </c>
      <c r="L1632" s="601">
        <v>-2.04</v>
      </c>
    </row>
    <row r="1633" spans="1:12" hidden="1">
      <c r="A1633" s="601" t="s">
        <v>3445</v>
      </c>
      <c r="B1633" s="601" t="str">
        <f t="shared" si="25"/>
        <v xml:space="preserve">TILLY'S </v>
      </c>
      <c r="C1633" s="601" t="e">
        <f>MID(Table3[[#This Row],[Statement Code]],FIND("- ",Table3[[#This Row],[Statement Code]])+2,100)</f>
        <v>#VALUE!</v>
      </c>
      <c r="D1633" s="602" t="s">
        <v>3448</v>
      </c>
      <c r="E1633" s="601" t="s">
        <v>3440</v>
      </c>
      <c r="F1633" s="601" t="s">
        <v>551</v>
      </c>
      <c r="G1633" s="601">
        <v>3.0619999999999998</v>
      </c>
      <c r="H1633" s="601">
        <v>2.7429999999999999</v>
      </c>
      <c r="I1633" s="601">
        <v>3.8879999999999999</v>
      </c>
      <c r="J1633" s="601">
        <v>3.1179999999999999</v>
      </c>
      <c r="K1633" s="601">
        <v>-60.143000000000001</v>
      </c>
      <c r="L1633" s="601">
        <v>-3.7229999999999999</v>
      </c>
    </row>
    <row r="1634" spans="1:12" hidden="1">
      <c r="A1634" s="601" t="s">
        <v>3445</v>
      </c>
      <c r="B1634" s="601" t="str">
        <f t="shared" si="25"/>
        <v xml:space="preserve">TILLY'S </v>
      </c>
      <c r="C1634" s="601" t="e">
        <f>MID(Table3[[#This Row],[Statement Code]],FIND("- ",Table3[[#This Row],[Statement Code]])+2,100)</f>
        <v>#VALUE!</v>
      </c>
      <c r="D1634" s="602" t="s">
        <v>3449</v>
      </c>
      <c r="E1634" s="601" t="s">
        <v>3440</v>
      </c>
      <c r="F1634" s="601" t="s">
        <v>551</v>
      </c>
      <c r="G1634" s="601">
        <v>8.3208000000000002</v>
      </c>
      <c r="H1634" s="601">
        <v>8.3681999999999999</v>
      </c>
      <c r="I1634" s="601">
        <v>9.5205000000000002</v>
      </c>
      <c r="J1634" s="601">
        <v>2.1798000000000002</v>
      </c>
      <c r="K1634" s="601">
        <v>-1.8121</v>
      </c>
      <c r="L1634" s="601">
        <v>-12.0098</v>
      </c>
    </row>
    <row r="1635" spans="1:12" hidden="1">
      <c r="A1635" s="601" t="s">
        <v>3445</v>
      </c>
      <c r="B1635" s="601" t="str">
        <f t="shared" si="25"/>
        <v xml:space="preserve">TILLY'S </v>
      </c>
      <c r="C1635" s="601" t="e">
        <f>MID(Table3[[#This Row],[Statement Code]],FIND("- ",Table3[[#This Row],[Statement Code]])+2,100)</f>
        <v>#VALUE!</v>
      </c>
      <c r="D1635" s="602" t="s">
        <v>3450</v>
      </c>
      <c r="E1635" s="601" t="s">
        <v>3440</v>
      </c>
      <c r="F1635" s="601" t="s">
        <v>551</v>
      </c>
      <c r="G1635" s="601">
        <v>0.248</v>
      </c>
      <c r="H1635" s="601">
        <v>0.126</v>
      </c>
      <c r="I1635" s="601">
        <v>0.40600000000000003</v>
      </c>
      <c r="J1635" s="601">
        <v>0.157</v>
      </c>
      <c r="K1635" s="601">
        <v>0.218</v>
      </c>
      <c r="L1635" s="601">
        <v>9.7000000000000003E-2</v>
      </c>
    </row>
    <row r="1636" spans="1:12" hidden="1">
      <c r="A1636" s="601" t="s">
        <v>3445</v>
      </c>
      <c r="B1636" s="601" t="str">
        <f t="shared" si="25"/>
        <v xml:space="preserve">TILLY'S </v>
      </c>
      <c r="C1636" s="601" t="e">
        <f>MID(Table3[[#This Row],[Statement Code]],FIND("- ",Table3[[#This Row],[Statement Code]])+2,100)</f>
        <v>#VALUE!</v>
      </c>
      <c r="D1636" s="602" t="s">
        <v>3451</v>
      </c>
      <c r="E1636" s="601" t="s">
        <v>3440</v>
      </c>
      <c r="F1636" s="601" t="s">
        <v>551</v>
      </c>
      <c r="G1636" s="601" t="s">
        <v>23</v>
      </c>
      <c r="H1636" s="601" t="s">
        <v>23</v>
      </c>
      <c r="I1636" s="601" t="s">
        <v>23</v>
      </c>
      <c r="J1636" s="601" t="s">
        <v>23</v>
      </c>
      <c r="K1636" s="601">
        <v>45.168999999999997</v>
      </c>
      <c r="L1636" s="601">
        <v>3.8919999999999999</v>
      </c>
    </row>
    <row r="1637" spans="1:12" hidden="1">
      <c r="A1637" s="601" t="s">
        <v>3445</v>
      </c>
      <c r="B1637" s="601" t="str">
        <f t="shared" si="25"/>
        <v xml:space="preserve">TILLY'S </v>
      </c>
      <c r="C1637" s="601" t="e">
        <f>MID(Table3[[#This Row],[Statement Code]],FIND("- ",Table3[[#This Row],[Statement Code]])+2,100)</f>
        <v>#VALUE!</v>
      </c>
      <c r="D1637" s="602" t="s">
        <v>3452</v>
      </c>
      <c r="E1637" s="601" t="s">
        <v>3440</v>
      </c>
      <c r="F1637" s="601" t="s">
        <v>551</v>
      </c>
      <c r="G1637" s="601" t="s">
        <v>23</v>
      </c>
      <c r="H1637" s="601" t="s">
        <v>23</v>
      </c>
      <c r="I1637" s="601" t="s">
        <v>23</v>
      </c>
      <c r="J1637" s="601" t="s">
        <v>23</v>
      </c>
      <c r="K1637" s="601">
        <v>-0.58699999999999997</v>
      </c>
      <c r="L1637" s="601">
        <v>-0.71099999999999997</v>
      </c>
    </row>
    <row r="1638" spans="1:12" hidden="1">
      <c r="A1638" s="601" t="s">
        <v>3445</v>
      </c>
      <c r="B1638" s="601" t="str">
        <f t="shared" si="25"/>
        <v xml:space="preserve">TILLY'S </v>
      </c>
      <c r="C1638" s="601" t="e">
        <f>MID(Table3[[#This Row],[Statement Code]],FIND("- ",Table3[[#This Row],[Statement Code]])+2,100)</f>
        <v>#VALUE!</v>
      </c>
      <c r="D1638" s="602" t="s">
        <v>3453</v>
      </c>
      <c r="E1638" s="601" t="s">
        <v>3440</v>
      </c>
      <c r="F1638" s="601" t="s">
        <v>551</v>
      </c>
      <c r="G1638" s="601">
        <v>0.6</v>
      </c>
      <c r="H1638" s="601">
        <v>1.1299999999999999</v>
      </c>
      <c r="I1638" s="601">
        <v>0.45</v>
      </c>
      <c r="J1638" s="601">
        <v>0.91</v>
      </c>
      <c r="K1638" s="601" t="s">
        <v>23</v>
      </c>
      <c r="L1638" s="601" t="s">
        <v>23</v>
      </c>
    </row>
    <row r="1639" spans="1:12" hidden="1">
      <c r="A1639" s="601" t="s">
        <v>3445</v>
      </c>
      <c r="B1639" s="601" t="str">
        <f t="shared" si="25"/>
        <v xml:space="preserve">TILLY'S </v>
      </c>
      <c r="C1639" s="601" t="e">
        <f>MID(Table3[[#This Row],[Statement Code]],FIND("- ",Table3[[#This Row],[Statement Code]])+2,100)</f>
        <v>#VALUE!</v>
      </c>
      <c r="D1639" s="602" t="s">
        <v>3454</v>
      </c>
      <c r="E1639" s="601" t="s">
        <v>3440</v>
      </c>
      <c r="F1639" s="601" t="s">
        <v>551</v>
      </c>
      <c r="G1639" s="601">
        <v>0.37</v>
      </c>
      <c r="H1639" s="601">
        <v>0.68</v>
      </c>
      <c r="I1639" s="601">
        <v>0.31</v>
      </c>
      <c r="J1639" s="601">
        <v>0.55000000000000004</v>
      </c>
      <c r="K1639" s="601" t="s">
        <v>23</v>
      </c>
      <c r="L1639" s="601" t="s">
        <v>23</v>
      </c>
    </row>
    <row r="1640" spans="1:12" hidden="1">
      <c r="A1640" s="601" t="s">
        <v>3445</v>
      </c>
      <c r="B1640" s="601" t="str">
        <f t="shared" si="25"/>
        <v xml:space="preserve">TILLY'S </v>
      </c>
      <c r="C1640" s="601" t="e">
        <f>MID(Table3[[#This Row],[Statement Code]],FIND("- ",Table3[[#This Row],[Statement Code]])+2,100)</f>
        <v>#VALUE!</v>
      </c>
      <c r="D1640" s="602" t="s">
        <v>3455</v>
      </c>
      <c r="E1640" s="601" t="s">
        <v>3440</v>
      </c>
      <c r="F1640" s="601" t="s">
        <v>551</v>
      </c>
      <c r="G1640" s="601">
        <v>1.3698999999999999</v>
      </c>
      <c r="H1640" s="601">
        <v>1.4446000000000001</v>
      </c>
      <c r="I1640" s="601">
        <v>2.0659000000000001</v>
      </c>
      <c r="J1640" s="601">
        <v>1.198</v>
      </c>
      <c r="K1640" s="601">
        <v>1.55</v>
      </c>
      <c r="L1640" s="601">
        <v>1.4376</v>
      </c>
    </row>
    <row r="1641" spans="1:12">
      <c r="A1641" s="601" t="s">
        <v>3456</v>
      </c>
      <c r="B1641" s="601" t="str">
        <f t="shared" si="25"/>
        <v xml:space="preserve">TILLY'S </v>
      </c>
      <c r="C1641" s="601" t="str">
        <f>MID(Table3[[#This Row],[Statement Code]],FIND("- ",Table3[[#This Row],[Statement Code]])+2,100)</f>
        <v>12MTH TRAILING EPS</v>
      </c>
      <c r="D1641" s="602" t="s">
        <v>3457</v>
      </c>
      <c r="E1641" s="601" t="s">
        <v>3440</v>
      </c>
      <c r="F1641" s="601" t="s">
        <v>551</v>
      </c>
      <c r="G1641" s="601">
        <v>0.76500000000000001</v>
      </c>
      <c r="H1641" s="601">
        <v>2.3E-2</v>
      </c>
      <c r="I1641" s="601">
        <v>1.113</v>
      </c>
      <c r="J1641" s="601">
        <v>0.92700000000000005</v>
      </c>
      <c r="K1641" s="601">
        <v>-0.30299999999999999</v>
      </c>
      <c r="L1641" s="601">
        <v>-0.93200000000000005</v>
      </c>
    </row>
    <row r="1642" spans="1:12" hidden="1">
      <c r="A1642" s="601" t="s">
        <v>3458</v>
      </c>
      <c r="B1642" s="601" t="str">
        <f t="shared" si="25"/>
        <v xml:space="preserve">TILLY'S </v>
      </c>
      <c r="C1642" s="601" t="str">
        <f>MID(Table3[[#This Row],[Statement Code]],FIND("- ",Table3[[#This Row],[Statement Code]])+2,100)</f>
        <v>DIV.PER SHR.</v>
      </c>
      <c r="D1642" s="602" t="s">
        <v>3459</v>
      </c>
      <c r="E1642" s="601" t="s">
        <v>3440</v>
      </c>
      <c r="F1642" s="601" t="s">
        <v>551</v>
      </c>
      <c r="G1642" s="601">
        <v>0</v>
      </c>
      <c r="H1642" s="601">
        <v>0</v>
      </c>
      <c r="I1642" s="601">
        <v>0</v>
      </c>
      <c r="J1642" s="601">
        <v>0</v>
      </c>
      <c r="K1642" s="601">
        <v>0</v>
      </c>
      <c r="L1642" s="601">
        <v>0</v>
      </c>
    </row>
    <row r="1643" spans="1:12" hidden="1">
      <c r="A1643" s="601" t="s">
        <v>3445</v>
      </c>
      <c r="B1643" s="601" t="str">
        <f t="shared" si="25"/>
        <v xml:space="preserve">TILLY'S </v>
      </c>
      <c r="C1643" s="601" t="e">
        <f>MID(Table3[[#This Row],[Statement Code]],FIND("- ",Table3[[#This Row],[Statement Code]])+2,100)</f>
        <v>#VALUE!</v>
      </c>
      <c r="D1643" s="602" t="s">
        <v>3460</v>
      </c>
      <c r="E1643" s="601" t="s">
        <v>3440</v>
      </c>
      <c r="F1643" s="601" t="s">
        <v>551</v>
      </c>
      <c r="G1643" s="601">
        <v>2.5659999999999998</v>
      </c>
      <c r="H1643" s="601">
        <v>2.17</v>
      </c>
      <c r="I1643" s="601">
        <v>2.282</v>
      </c>
      <c r="J1643" s="601">
        <v>0</v>
      </c>
      <c r="K1643" s="601" t="s">
        <v>23</v>
      </c>
      <c r="L1643" s="601" t="s">
        <v>23</v>
      </c>
    </row>
    <row r="1644" spans="1:12" hidden="1">
      <c r="A1644" s="601" t="s">
        <v>3443</v>
      </c>
      <c r="B1644" s="601" t="str">
        <f t="shared" si="25"/>
        <v xml:space="preserve">TILLY'S </v>
      </c>
      <c r="C1644" s="601" t="str">
        <f>MID(Table3[[#This Row],[Statement Code]],FIND("- ",Table3[[#This Row],[Statement Code]])+2,100)</f>
        <v>12MTH FORWARD EPS</v>
      </c>
      <c r="D1644" s="602" t="s">
        <v>3444</v>
      </c>
      <c r="E1644" s="601" t="s">
        <v>3440</v>
      </c>
      <c r="F1644" s="601" t="s">
        <v>551</v>
      </c>
      <c r="G1644" s="601">
        <v>0.79800000000000004</v>
      </c>
      <c r="H1644" s="601">
        <v>0.30299999999999999</v>
      </c>
      <c r="I1644" s="601">
        <v>1.5029999999999999</v>
      </c>
      <c r="J1644" s="601">
        <v>0.45300000000000001</v>
      </c>
      <c r="K1644" s="601">
        <v>-0.21299999999999999</v>
      </c>
      <c r="L1644" s="601">
        <v>-0.74299999999999999</v>
      </c>
    </row>
    <row r="1645" spans="1:12" hidden="1">
      <c r="A1645" s="601" t="s">
        <v>3441</v>
      </c>
      <c r="B1645" s="601" t="str">
        <f t="shared" si="25"/>
        <v xml:space="preserve">TILLY'S </v>
      </c>
      <c r="C1645" s="601" t="str">
        <f>MID(Table3[[#This Row],[Statement Code]],FIND("- ",Table3[[#This Row],[Statement Code]])+2,100)</f>
        <v>PER</v>
      </c>
      <c r="D1645" s="602" t="s">
        <v>3442</v>
      </c>
      <c r="E1645" s="601" t="s">
        <v>3440</v>
      </c>
      <c r="F1645" s="601" t="s">
        <v>551</v>
      </c>
      <c r="G1645" s="601">
        <v>12.6</v>
      </c>
      <c r="H1645" s="601">
        <v>478</v>
      </c>
      <c r="I1645" s="601">
        <v>10.5</v>
      </c>
      <c r="J1645" s="601">
        <v>6.1</v>
      </c>
      <c r="K1645" s="601" t="s">
        <v>23</v>
      </c>
      <c r="L1645" s="601" t="s">
        <v>23</v>
      </c>
    </row>
    <row r="1646" spans="1:12" hidden="1">
      <c r="A1646" s="601" t="s">
        <v>3438</v>
      </c>
      <c r="B1646" s="601" t="str">
        <f t="shared" si="25"/>
        <v xml:space="preserve">TILLY'S </v>
      </c>
      <c r="C1646" s="601" t="str">
        <f>MID(Table3[[#This Row],[Statement Code]],FIND("- ",Table3[[#This Row],[Statement Code]])+2,100)</f>
        <v>MARKET VALUE</v>
      </c>
      <c r="D1646" s="602" t="s">
        <v>3439</v>
      </c>
      <c r="E1646" s="601" t="s">
        <v>3440</v>
      </c>
      <c r="F1646" s="601" t="s">
        <v>551</v>
      </c>
      <c r="G1646" s="601">
        <v>222.49</v>
      </c>
      <c r="H1646" s="601">
        <v>160.71</v>
      </c>
      <c r="I1646" s="601">
        <v>343.65</v>
      </c>
      <c r="J1646" s="601">
        <v>167.39</v>
      </c>
      <c r="K1646" s="601">
        <v>179.19</v>
      </c>
      <c r="L1646" s="601">
        <v>116.51</v>
      </c>
    </row>
    <row r="1647" spans="1:12" hidden="1">
      <c r="A1647" s="601" t="s">
        <v>3461</v>
      </c>
      <c r="B1647" s="601" t="str">
        <f t="shared" si="25"/>
        <v xml:space="preserve">TILLY'S </v>
      </c>
      <c r="C1647" s="601" t="str">
        <f>MID(Table3[[#This Row],[Statement Code]],FIND("- ",Table3[[#This Row],[Statement Code]])+2,100)</f>
        <v>EARNINGS PER SHR</v>
      </c>
      <c r="D1647" s="602" t="s">
        <v>3462</v>
      </c>
      <c r="E1647" s="601" t="s">
        <v>3440</v>
      </c>
      <c r="F1647" s="601" t="s">
        <v>551</v>
      </c>
      <c r="G1647" s="601">
        <v>0.71</v>
      </c>
      <c r="H1647" s="601">
        <v>0.01</v>
      </c>
      <c r="I1647" s="601">
        <v>1.39</v>
      </c>
      <c r="J1647" s="601">
        <v>1.2</v>
      </c>
      <c r="K1647" s="601">
        <v>0</v>
      </c>
      <c r="L1647" s="601">
        <v>0</v>
      </c>
    </row>
    <row r="1648" spans="1:12" hidden="1">
      <c r="A1648" s="601" t="s">
        <v>3445</v>
      </c>
      <c r="B1648" s="601" t="str">
        <f t="shared" si="25"/>
        <v xml:space="preserve">TILLY'S </v>
      </c>
      <c r="C1648" s="601" t="e">
        <f>MID(Table3[[#This Row],[Statement Code]],FIND("- ",Table3[[#This Row],[Statement Code]])+2,100)</f>
        <v>#VALUE!</v>
      </c>
      <c r="D1648" s="602" t="s">
        <v>3463</v>
      </c>
      <c r="E1648" s="601" t="s">
        <v>3440</v>
      </c>
      <c r="F1648" s="601" t="s">
        <v>23</v>
      </c>
      <c r="G1648" s="601">
        <v>1.0852999999999999</v>
      </c>
      <c r="H1648" s="601">
        <v>1.6729000000000001</v>
      </c>
      <c r="I1648" s="601">
        <v>1.8004</v>
      </c>
      <c r="J1648" s="601">
        <v>1.5958000000000001</v>
      </c>
      <c r="K1648" s="601">
        <v>1.5177</v>
      </c>
      <c r="L1648" s="601">
        <v>1.3906000000000001</v>
      </c>
    </row>
    <row r="1649" spans="1:12" hidden="1">
      <c r="A1649" s="601" t="s">
        <v>3445</v>
      </c>
      <c r="B1649" s="601" t="str">
        <f t="shared" si="25"/>
        <v xml:space="preserve">TILLY'S </v>
      </c>
      <c r="C1649" s="601" t="e">
        <f>MID(Table3[[#This Row],[Statement Code]],FIND("- ",Table3[[#This Row],[Statement Code]])+2,100)</f>
        <v>#VALUE!</v>
      </c>
      <c r="D1649" s="602" t="s">
        <v>3464</v>
      </c>
      <c r="E1649" s="601" t="s">
        <v>3440</v>
      </c>
      <c r="F1649" s="601" t="s">
        <v>23</v>
      </c>
      <c r="G1649" s="601">
        <v>0.57440000000000002</v>
      </c>
      <c r="H1649" s="601">
        <v>0.6401</v>
      </c>
      <c r="I1649" s="601">
        <v>0.59630000000000005</v>
      </c>
      <c r="J1649" s="601">
        <v>0.57530000000000003</v>
      </c>
      <c r="K1649" s="601">
        <v>0.57850000000000001</v>
      </c>
      <c r="L1649" s="601">
        <v>0.5464</v>
      </c>
    </row>
    <row r="1650" spans="1:12" hidden="1">
      <c r="A1650" s="601" t="s">
        <v>3465</v>
      </c>
      <c r="B1650" s="601" t="str">
        <f t="shared" si="25"/>
        <v xml:space="preserve">TILLYS </v>
      </c>
      <c r="C1650" s="601" t="str">
        <f>MID(Table3[[#This Row],[Statement Code]],FIND("- ",Table3[[#This Row],[Statement Code]])+2,100)</f>
        <v>ACCOUNTS PAYABLE</v>
      </c>
      <c r="D1650" s="602" t="s">
        <v>3466</v>
      </c>
      <c r="E1650" s="601" t="s">
        <v>3440</v>
      </c>
      <c r="F1650" s="601" t="s">
        <v>551</v>
      </c>
      <c r="G1650" s="601">
        <v>20562</v>
      </c>
      <c r="H1650" s="601">
        <v>24983</v>
      </c>
      <c r="I1650" s="601">
        <v>28144</v>
      </c>
      <c r="J1650" s="601">
        <v>15956</v>
      </c>
      <c r="K1650" s="601">
        <v>14506</v>
      </c>
      <c r="L1650" s="601" t="s">
        <v>23</v>
      </c>
    </row>
    <row r="1651" spans="1:12" hidden="1">
      <c r="A1651" s="601" t="s">
        <v>3467</v>
      </c>
      <c r="B1651" s="601" t="str">
        <f t="shared" si="25"/>
        <v xml:space="preserve">TILLYS </v>
      </c>
      <c r="C1651" s="601" t="str">
        <f>MID(Table3[[#This Row],[Statement Code]],FIND("- ",Table3[[#This Row],[Statement Code]])+2,100)</f>
        <v>AMORTIZATION OF DEFERRED CHARG</v>
      </c>
      <c r="D1651" s="602" t="s">
        <v>3468</v>
      </c>
      <c r="E1651" s="601" t="s">
        <v>3440</v>
      </c>
      <c r="F1651" s="601" t="s">
        <v>551</v>
      </c>
      <c r="G1651" s="601">
        <v>0</v>
      </c>
      <c r="H1651" s="601">
        <v>0</v>
      </c>
      <c r="I1651" s="601">
        <v>0</v>
      </c>
      <c r="J1651" s="601">
        <v>0</v>
      </c>
      <c r="K1651" s="601">
        <v>0</v>
      </c>
      <c r="L1651" s="601" t="s">
        <v>23</v>
      </c>
    </row>
    <row r="1652" spans="1:12" hidden="1">
      <c r="A1652" s="601" t="s">
        <v>3469</v>
      </c>
      <c r="B1652" s="601" t="str">
        <f t="shared" si="25"/>
        <v xml:space="preserve">TILLYS </v>
      </c>
      <c r="C1652" s="601" t="str">
        <f>MID(Table3[[#This Row],[Statement Code]],FIND("- ",Table3[[#This Row],[Statement Code]])+2,100)</f>
        <v>BOOK VALUE-OUT SHARES-FISCAL</v>
      </c>
      <c r="D1652" s="602" t="s">
        <v>3470</v>
      </c>
      <c r="E1652" s="601" t="s">
        <v>3440</v>
      </c>
      <c r="F1652" s="601" t="s">
        <v>551</v>
      </c>
      <c r="G1652" s="601">
        <v>5.3789999999999996</v>
      </c>
      <c r="H1652" s="601">
        <v>5.3929999999999998</v>
      </c>
      <c r="I1652" s="601">
        <v>5.6310000000000002</v>
      </c>
      <c r="J1652" s="601">
        <v>5.9189999999999996</v>
      </c>
      <c r="K1652" s="601">
        <v>4.8259999999999996</v>
      </c>
      <c r="L1652" s="601" t="s">
        <v>23</v>
      </c>
    </row>
    <row r="1653" spans="1:12" hidden="1">
      <c r="A1653" s="601" t="s">
        <v>3471</v>
      </c>
      <c r="B1653" s="601" t="str">
        <f t="shared" si="25"/>
        <v xml:space="preserve">TILLYS </v>
      </c>
      <c r="C1653" s="601" t="str">
        <f>MID(Table3[[#This Row],[Statement Code]],FIND("- ",Table3[[#This Row],[Statement Code]])+2,100)</f>
        <v>BOOK VALUE PER SHARE</v>
      </c>
      <c r="D1653" s="602" t="s">
        <v>3472</v>
      </c>
      <c r="E1653" s="601" t="s">
        <v>3440</v>
      </c>
      <c r="F1653" s="601" t="s">
        <v>551</v>
      </c>
      <c r="G1653" s="601">
        <v>5.3789999999999996</v>
      </c>
      <c r="H1653" s="601">
        <v>5.3929999999999998</v>
      </c>
      <c r="I1653" s="601">
        <v>5.6310000000000002</v>
      </c>
      <c r="J1653" s="601">
        <v>5.9189999999999996</v>
      </c>
      <c r="K1653" s="601">
        <v>4.8259999999999996</v>
      </c>
      <c r="L1653" s="601" t="s">
        <v>23</v>
      </c>
    </row>
    <row r="1654" spans="1:12">
      <c r="A1654" s="601" t="s">
        <v>3473</v>
      </c>
      <c r="B1654" s="601" t="str">
        <f t="shared" si="25"/>
        <v xml:space="preserve">TILLYS </v>
      </c>
      <c r="C1654" s="601" t="str">
        <f>MID(Table3[[#This Row],[Statement Code]],FIND("- ",Table3[[#This Row],[Statement Code]])+2,100)</f>
        <v>CAPITAL EXPENDITURES</v>
      </c>
      <c r="D1654" s="602" t="s">
        <v>3474</v>
      </c>
      <c r="E1654" s="601" t="s">
        <v>3440</v>
      </c>
      <c r="F1654" s="601" t="s">
        <v>551</v>
      </c>
      <c r="G1654" s="601">
        <v>14299</v>
      </c>
      <c r="H1654" s="601">
        <v>8471</v>
      </c>
      <c r="I1654" s="601">
        <v>13425</v>
      </c>
      <c r="J1654" s="601">
        <v>15123</v>
      </c>
      <c r="K1654" s="601">
        <v>13958</v>
      </c>
      <c r="L1654" s="601" t="s">
        <v>23</v>
      </c>
    </row>
    <row r="1655" spans="1:12" hidden="1">
      <c r="A1655" s="601" t="s">
        <v>3475</v>
      </c>
      <c r="B1655" s="601" t="str">
        <f t="shared" si="25"/>
        <v xml:space="preserve">TILLYS </v>
      </c>
      <c r="C1655" s="601" t="str">
        <f>MID(Table3[[#This Row],[Statement Code]],FIND("- ",Table3[[#This Row],[Statement Code]])+2,100)</f>
        <v>CASH</v>
      </c>
      <c r="D1655" s="602" t="s">
        <v>3476</v>
      </c>
      <c r="E1655" s="601" t="s">
        <v>3440</v>
      </c>
      <c r="F1655" s="601" t="s">
        <v>551</v>
      </c>
      <c r="G1655" s="601">
        <v>70137</v>
      </c>
      <c r="H1655" s="601">
        <v>76184</v>
      </c>
      <c r="I1655" s="601">
        <v>42201</v>
      </c>
      <c r="J1655" s="601">
        <v>73526</v>
      </c>
      <c r="K1655" s="601">
        <v>47027</v>
      </c>
      <c r="L1655" s="601" t="s">
        <v>23</v>
      </c>
    </row>
    <row r="1656" spans="1:12" hidden="1">
      <c r="A1656" s="601" t="s">
        <v>3477</v>
      </c>
      <c r="B1656" s="601" t="str">
        <f t="shared" si="25"/>
        <v xml:space="preserve">TILLYS </v>
      </c>
      <c r="C1656" s="601" t="str">
        <f>MID(Table3[[#This Row],[Statement Code]],FIND("- ",Table3[[#This Row],[Statement Code]])+2,100)</f>
        <v>CASH - GENERIC</v>
      </c>
      <c r="D1656" s="602" t="s">
        <v>3478</v>
      </c>
      <c r="E1656" s="601" t="s">
        <v>3440</v>
      </c>
      <c r="F1656" s="601" t="s">
        <v>551</v>
      </c>
      <c r="G1656" s="601">
        <v>139917</v>
      </c>
      <c r="H1656" s="601">
        <v>141139</v>
      </c>
      <c r="I1656" s="601">
        <v>139228</v>
      </c>
      <c r="J1656" s="601">
        <v>113279</v>
      </c>
      <c r="K1656" s="601">
        <v>95048</v>
      </c>
      <c r="L1656" s="601" t="s">
        <v>23</v>
      </c>
    </row>
    <row r="1657" spans="1:12">
      <c r="A1657" s="601" t="s">
        <v>3479</v>
      </c>
      <c r="B1657" s="601" t="str">
        <f t="shared" si="25"/>
        <v xml:space="preserve">TILLYS </v>
      </c>
      <c r="C1657" s="601" t="str">
        <f>MID(Table3[[#This Row],[Statement Code]],FIND("- ",Table3[[#This Row],[Statement Code]])+2,100)</f>
        <v>CASH &amp; SHORT TERM INVESTMENTS</v>
      </c>
      <c r="D1657" s="602" t="s">
        <v>3480</v>
      </c>
      <c r="E1657" s="601" t="s">
        <v>3440</v>
      </c>
      <c r="F1657" s="601" t="s">
        <v>551</v>
      </c>
      <c r="G1657" s="601">
        <v>139917</v>
      </c>
      <c r="H1657" s="601">
        <v>141139</v>
      </c>
      <c r="I1657" s="601">
        <v>139228</v>
      </c>
      <c r="J1657" s="601">
        <v>113279</v>
      </c>
      <c r="K1657" s="601">
        <v>95048</v>
      </c>
      <c r="L1657" s="601" t="s">
        <v>23</v>
      </c>
    </row>
    <row r="1658" spans="1:12" hidden="1">
      <c r="A1658" s="601" t="s">
        <v>3481</v>
      </c>
      <c r="B1658" s="601" t="str">
        <f t="shared" si="25"/>
        <v xml:space="preserve">TILLYS </v>
      </c>
      <c r="C1658" s="601" t="str">
        <f>MID(Table3[[#This Row],[Statement Code]],FIND("- ",Table3[[#This Row],[Statement Code]])+2,100)</f>
        <v>CASH DIVIDENDS PAID - TOTAL</v>
      </c>
      <c r="D1658" s="602" t="s">
        <v>3482</v>
      </c>
      <c r="E1658" s="601" t="s">
        <v>3440</v>
      </c>
      <c r="F1658" s="601" t="s">
        <v>551</v>
      </c>
      <c r="G1658" s="601">
        <v>29453</v>
      </c>
      <c r="H1658" s="601">
        <v>29677</v>
      </c>
      <c r="I1658" s="601">
        <v>61630</v>
      </c>
      <c r="J1658" s="601">
        <v>0</v>
      </c>
      <c r="K1658" s="601">
        <v>0</v>
      </c>
      <c r="L1658" s="601" t="s">
        <v>23</v>
      </c>
    </row>
    <row r="1659" spans="1:12" hidden="1">
      <c r="A1659" s="601" t="s">
        <v>3483</v>
      </c>
      <c r="B1659" s="601" t="str">
        <f t="shared" si="25"/>
        <v xml:space="preserve">TILLYS </v>
      </c>
      <c r="C1659" s="601" t="str">
        <f>MID(Table3[[#This Row],[Statement Code]],FIND("- ",Table3[[#This Row],[Statement Code]])+2,100)</f>
        <v>CASH FLOW PER SHARE</v>
      </c>
      <c r="D1659" s="602" t="s">
        <v>3484</v>
      </c>
      <c r="E1659" s="601" t="s">
        <v>3440</v>
      </c>
      <c r="F1659" s="601" t="s">
        <v>551</v>
      </c>
      <c r="G1659" s="601">
        <v>1.327</v>
      </c>
      <c r="H1659" s="601">
        <v>0.51600000000000001</v>
      </c>
      <c r="I1659" s="601">
        <v>2.69</v>
      </c>
      <c r="J1659" s="601">
        <v>0.94599999999999995</v>
      </c>
      <c r="K1659" s="601">
        <v>-0.316</v>
      </c>
      <c r="L1659" s="601" t="s">
        <v>23</v>
      </c>
    </row>
    <row r="1660" spans="1:12" hidden="1">
      <c r="A1660" s="601" t="s">
        <v>3485</v>
      </c>
      <c r="B1660" s="601" t="str">
        <f t="shared" si="25"/>
        <v xml:space="preserve">TILLYS </v>
      </c>
      <c r="C1660" s="601" t="str">
        <f>MID(Table3[[#This Row],[Statement Code]],FIND("- ",Table3[[#This Row],[Statement Code]])+2,100)</f>
        <v>CASH FLOW PER SHARE - FIS YR</v>
      </c>
      <c r="D1660" s="602" t="s">
        <v>3486</v>
      </c>
      <c r="E1660" s="601" t="s">
        <v>3440</v>
      </c>
      <c r="F1660" s="601" t="s">
        <v>551</v>
      </c>
      <c r="G1660" s="601">
        <v>1.327</v>
      </c>
      <c r="H1660" s="601">
        <v>0.51600000000000001</v>
      </c>
      <c r="I1660" s="601">
        <v>2.69</v>
      </c>
      <c r="J1660" s="601">
        <v>0.94599999999999995</v>
      </c>
      <c r="K1660" s="601">
        <v>-0.316</v>
      </c>
      <c r="L1660" s="601" t="s">
        <v>23</v>
      </c>
    </row>
    <row r="1661" spans="1:12" hidden="1">
      <c r="A1661" s="601" t="s">
        <v>3487</v>
      </c>
      <c r="B1661" s="601" t="str">
        <f t="shared" si="25"/>
        <v xml:space="preserve">TILLYS </v>
      </c>
      <c r="C1661" s="601" t="str">
        <f>MID(Table3[[#This Row],[Statement Code]],FIND("- ",Table3[[#This Row],[Statement Code]])+2,100)</f>
        <v>COMMON DIVIDENDS (CASH)</v>
      </c>
      <c r="D1661" s="602" t="s">
        <v>3488</v>
      </c>
      <c r="E1661" s="601" t="s">
        <v>3440</v>
      </c>
      <c r="F1661" s="601" t="s">
        <v>551</v>
      </c>
      <c r="G1661" s="601">
        <v>29453</v>
      </c>
      <c r="H1661" s="601">
        <v>29677</v>
      </c>
      <c r="I1661" s="601">
        <v>61630</v>
      </c>
      <c r="J1661" s="601">
        <v>0</v>
      </c>
      <c r="K1661" s="601">
        <v>0</v>
      </c>
      <c r="L1661" s="601" t="s">
        <v>23</v>
      </c>
    </row>
    <row r="1662" spans="1:12" hidden="1">
      <c r="A1662" s="601" t="s">
        <v>3489</v>
      </c>
      <c r="B1662" s="601" t="str">
        <f t="shared" si="25"/>
        <v xml:space="preserve">TILLYS </v>
      </c>
      <c r="C1662" s="601" t="str">
        <f>MID(Table3[[#This Row],[Statement Code]],FIND("- ",Table3[[#This Row],[Statement Code]])+2,100)</f>
        <v>COMMON SHAREHOLDERS' EQUITY</v>
      </c>
      <c r="D1662" s="602" t="s">
        <v>3490</v>
      </c>
      <c r="E1662" s="601" t="s">
        <v>3440</v>
      </c>
      <c r="F1662" s="601" t="s">
        <v>551</v>
      </c>
      <c r="G1662" s="601">
        <v>159901</v>
      </c>
      <c r="H1662" s="601">
        <v>160622</v>
      </c>
      <c r="I1662" s="601">
        <v>174713</v>
      </c>
      <c r="J1662" s="601">
        <v>176798</v>
      </c>
      <c r="K1662" s="601">
        <v>144869</v>
      </c>
      <c r="L1662" s="601" t="s">
        <v>23</v>
      </c>
    </row>
    <row r="1663" spans="1:12">
      <c r="A1663" s="601" t="s">
        <v>3491</v>
      </c>
      <c r="B1663" s="601" t="str">
        <f t="shared" si="25"/>
        <v xml:space="preserve">TILLYS </v>
      </c>
      <c r="C1663" s="601" t="str">
        <f>MID(Table3[[#This Row],[Statement Code]],FIND("- ",Table3[[#This Row],[Statement Code]])+2,100)</f>
        <v>COMMON STOCK</v>
      </c>
      <c r="D1663" s="602" t="s">
        <v>3492</v>
      </c>
      <c r="E1663" s="601" t="s">
        <v>3440</v>
      </c>
      <c r="F1663" s="601" t="s">
        <v>551</v>
      </c>
      <c r="G1663" s="601">
        <v>30</v>
      </c>
      <c r="H1663" s="601">
        <v>30</v>
      </c>
      <c r="I1663" s="601">
        <v>31</v>
      </c>
      <c r="J1663" s="601">
        <v>30</v>
      </c>
      <c r="K1663" s="601">
        <v>30</v>
      </c>
      <c r="L1663" s="601" t="s">
        <v>23</v>
      </c>
    </row>
    <row r="1664" spans="1:12" hidden="1">
      <c r="A1664" s="601" t="s">
        <v>3493</v>
      </c>
      <c r="B1664" s="601" t="str">
        <f t="shared" si="25"/>
        <v xml:space="preserve">TILLYS </v>
      </c>
      <c r="C1664" s="601" t="str">
        <f>MID(Table3[[#This Row],[Statement Code]],FIND("- ",Table3[[#This Row],[Statement Code]])+2,100)</f>
        <v>COST OF GOODS SOLD (EXCL DEP)</v>
      </c>
      <c r="D1664" s="602" t="s">
        <v>3494</v>
      </c>
      <c r="E1664" s="601" t="s">
        <v>3440</v>
      </c>
      <c r="F1664" s="601" t="s">
        <v>551</v>
      </c>
      <c r="G1664" s="601">
        <v>411644</v>
      </c>
      <c r="H1664" s="601">
        <v>370039</v>
      </c>
      <c r="I1664" s="601">
        <v>482195</v>
      </c>
      <c r="J1664" s="601">
        <v>455398</v>
      </c>
      <c r="K1664" s="601">
        <v>444592</v>
      </c>
      <c r="L1664" s="601" t="s">
        <v>23</v>
      </c>
    </row>
    <row r="1665" spans="1:12">
      <c r="A1665" s="601" t="s">
        <v>3495</v>
      </c>
      <c r="B1665" s="601" t="str">
        <f t="shared" si="25"/>
        <v xml:space="preserve">TILLYS </v>
      </c>
      <c r="C1665" s="601" t="str">
        <f>MID(Table3[[#This Row],[Statement Code]],FIND("- ",Table3[[#This Row],[Statement Code]])+2,100)</f>
        <v>CURRENT ASSETS - TOTAL</v>
      </c>
      <c r="D1665" s="602" t="s">
        <v>3496</v>
      </c>
      <c r="E1665" s="601" t="s">
        <v>3440</v>
      </c>
      <c r="F1665" s="601" t="s">
        <v>551</v>
      </c>
      <c r="G1665" s="601">
        <v>208864</v>
      </c>
      <c r="H1665" s="601">
        <v>212156</v>
      </c>
      <c r="I1665" s="601">
        <v>227978</v>
      </c>
      <c r="J1665" s="601">
        <v>202398</v>
      </c>
      <c r="K1665" s="601">
        <v>176059</v>
      </c>
      <c r="L1665" s="601" t="s">
        <v>23</v>
      </c>
    </row>
    <row r="1666" spans="1:12">
      <c r="A1666" s="601" t="s">
        <v>3497</v>
      </c>
      <c r="B1666" s="601" t="str">
        <f t="shared" si="25"/>
        <v xml:space="preserve">TILLYS </v>
      </c>
      <c r="C1666" s="601" t="str">
        <f>MID(Table3[[#This Row],[Statement Code]],FIND("- ",Table3[[#This Row],[Statement Code]])+2,100)</f>
        <v>CURRENT LIABILITIES-TOTAL</v>
      </c>
      <c r="D1666" s="602" t="s">
        <v>3498</v>
      </c>
      <c r="E1666" s="601" t="s">
        <v>3440</v>
      </c>
      <c r="F1666" s="601" t="s">
        <v>551</v>
      </c>
      <c r="G1666" s="601">
        <v>145266</v>
      </c>
      <c r="H1666" s="601">
        <v>133559</v>
      </c>
      <c r="I1666" s="601">
        <v>136167</v>
      </c>
      <c r="J1666" s="601">
        <v>108304</v>
      </c>
      <c r="K1666" s="601">
        <v>104557</v>
      </c>
      <c r="L1666" s="601" t="s">
        <v>23</v>
      </c>
    </row>
    <row r="1667" spans="1:12" hidden="1">
      <c r="A1667" s="601" t="s">
        <v>3499</v>
      </c>
      <c r="B1667" s="601" t="str">
        <f t="shared" ref="B1667:B1714" si="26">LEFT(A1667,FIND(" ",A1667))</f>
        <v xml:space="preserve">TILLYS </v>
      </c>
      <c r="C1667" s="601" t="str">
        <f>MID(Table3[[#This Row],[Statement Code]],FIND("- ",Table3[[#This Row],[Statement Code]])+2,100)</f>
        <v>DEFERRED TAXES</v>
      </c>
      <c r="D1667" s="602" t="s">
        <v>3500</v>
      </c>
      <c r="E1667" s="601" t="s">
        <v>3440</v>
      </c>
      <c r="F1667" s="601" t="s">
        <v>551</v>
      </c>
      <c r="G1667" s="601">
        <v>-6999</v>
      </c>
      <c r="H1667" s="601">
        <v>-11949</v>
      </c>
      <c r="I1667" s="601">
        <v>-11446</v>
      </c>
      <c r="J1667" s="601">
        <v>-8497</v>
      </c>
      <c r="K1667" s="601">
        <v>0</v>
      </c>
      <c r="L1667" s="601" t="s">
        <v>23</v>
      </c>
    </row>
    <row r="1668" spans="1:12" hidden="1">
      <c r="A1668" s="601" t="s">
        <v>3501</v>
      </c>
      <c r="B1668" s="601" t="str">
        <f t="shared" si="26"/>
        <v xml:space="preserve">TILLYS </v>
      </c>
      <c r="C1668" s="601" t="str">
        <f>MID(Table3[[#This Row],[Statement Code]],FIND("- ",Table3[[#This Row],[Statement Code]])+2,100)</f>
        <v>DEPRECIATION AND DEPLETION</v>
      </c>
      <c r="D1668" s="602" t="s">
        <v>3502</v>
      </c>
      <c r="E1668" s="601" t="s">
        <v>3440</v>
      </c>
      <c r="F1668" s="601" t="s">
        <v>551</v>
      </c>
      <c r="G1668" s="601">
        <v>20948</v>
      </c>
      <c r="H1668" s="601">
        <v>19055</v>
      </c>
      <c r="I1668" s="601">
        <v>16836</v>
      </c>
      <c r="J1668" s="601">
        <v>14134</v>
      </c>
      <c r="K1668" s="601">
        <v>12834</v>
      </c>
      <c r="L1668" s="601" t="s">
        <v>23</v>
      </c>
    </row>
    <row r="1669" spans="1:12">
      <c r="A1669" s="601" t="s">
        <v>3503</v>
      </c>
      <c r="B1669" s="601" t="str">
        <f t="shared" si="26"/>
        <v xml:space="preserve">TILLYS </v>
      </c>
      <c r="C1669" s="601" t="str">
        <f>MID(Table3[[#This Row],[Statement Code]],FIND("- ",Table3[[#This Row],[Statement Code]])+2,100)</f>
        <v>DEPRECIATION/DEPLETION/AMORT</v>
      </c>
      <c r="D1669" s="602" t="s">
        <v>3504</v>
      </c>
      <c r="E1669" s="601" t="s">
        <v>3440</v>
      </c>
      <c r="F1669" s="601" t="s">
        <v>551</v>
      </c>
      <c r="G1669" s="601">
        <v>20948</v>
      </c>
      <c r="H1669" s="601">
        <v>19100</v>
      </c>
      <c r="I1669" s="601">
        <v>16836</v>
      </c>
      <c r="J1669" s="601">
        <v>14134</v>
      </c>
      <c r="K1669" s="601">
        <v>12834</v>
      </c>
      <c r="L1669" s="601" t="s">
        <v>23</v>
      </c>
    </row>
    <row r="1670" spans="1:12" hidden="1">
      <c r="A1670" s="601" t="s">
        <v>3505</v>
      </c>
      <c r="B1670" s="601" t="str">
        <f t="shared" si="26"/>
        <v xml:space="preserve">TILLYS </v>
      </c>
      <c r="C1670" s="601" t="str">
        <f>MID(Table3[[#This Row],[Statement Code]],FIND("- ",Table3[[#This Row],[Statement Code]])+2,100)</f>
        <v>DIVIDENDS PER SHARE</v>
      </c>
      <c r="D1670" s="602" t="s">
        <v>3506</v>
      </c>
      <c r="E1670" s="601" t="s">
        <v>3440</v>
      </c>
      <c r="F1670" s="601" t="s">
        <v>551</v>
      </c>
      <c r="G1670" s="601">
        <v>1</v>
      </c>
      <c r="H1670" s="601">
        <v>1</v>
      </c>
      <c r="I1670" s="601">
        <v>2</v>
      </c>
      <c r="J1670" s="601">
        <v>0</v>
      </c>
      <c r="K1670" s="601">
        <v>0</v>
      </c>
      <c r="L1670" s="601" t="s">
        <v>23</v>
      </c>
    </row>
    <row r="1671" spans="1:12" hidden="1">
      <c r="A1671" s="601" t="s">
        <v>3507</v>
      </c>
      <c r="B1671" s="601" t="str">
        <f t="shared" si="26"/>
        <v xml:space="preserve">TILLYS </v>
      </c>
      <c r="C1671" s="601" t="str">
        <f>MID(Table3[[#This Row],[Statement Code]],FIND("- ",Table3[[#This Row],[Statement Code]])+2,100)</f>
        <v>DIVIDENDS PER SHARE - FISCAL</v>
      </c>
      <c r="D1671" s="602" t="s">
        <v>3508</v>
      </c>
      <c r="E1671" s="601" t="s">
        <v>3440</v>
      </c>
      <c r="F1671" s="601" t="s">
        <v>551</v>
      </c>
      <c r="G1671" s="601">
        <v>1</v>
      </c>
      <c r="H1671" s="601">
        <v>1</v>
      </c>
      <c r="I1671" s="601">
        <v>2</v>
      </c>
      <c r="J1671" s="601">
        <v>0</v>
      </c>
      <c r="K1671" s="601">
        <v>0</v>
      </c>
      <c r="L1671" s="601" t="s">
        <v>23</v>
      </c>
    </row>
    <row r="1672" spans="1:12">
      <c r="A1672" s="601" t="s">
        <v>3509</v>
      </c>
      <c r="B1672" s="601" t="str">
        <f t="shared" si="26"/>
        <v xml:space="preserve">TILLYS </v>
      </c>
      <c r="C1672" s="601" t="str">
        <f>MID(Table3[[#This Row],[Statement Code]],FIND("- ",Table3[[#This Row],[Statement Code]])+2,100)</f>
        <v>EARNINGS BEF INTEREST &amp; TAXES</v>
      </c>
      <c r="D1672" s="602" t="s">
        <v>3510</v>
      </c>
      <c r="E1672" s="601" t="s">
        <v>3440</v>
      </c>
      <c r="F1672" s="601" t="s">
        <v>551</v>
      </c>
      <c r="G1672" s="601">
        <v>31356</v>
      </c>
      <c r="H1672" s="601">
        <v>-2459</v>
      </c>
      <c r="I1672" s="601">
        <v>87001</v>
      </c>
      <c r="J1672" s="601">
        <v>13167</v>
      </c>
      <c r="K1672" s="601">
        <v>-25783</v>
      </c>
      <c r="L1672" s="601" t="s">
        <v>23</v>
      </c>
    </row>
    <row r="1673" spans="1:12" hidden="1">
      <c r="A1673" s="601" t="s">
        <v>3511</v>
      </c>
      <c r="B1673" s="601" t="str">
        <f t="shared" si="26"/>
        <v xml:space="preserve">TILLYS </v>
      </c>
      <c r="C1673" s="601" t="str">
        <f>MID(Table3[[#This Row],[Statement Code]],FIND("- ",Table3[[#This Row],[Statement Code]])+2,100)</f>
        <v>EBIT &amp; DEPRECIATION</v>
      </c>
      <c r="D1673" s="602" t="s">
        <v>3512</v>
      </c>
      <c r="E1673" s="601" t="s">
        <v>3440</v>
      </c>
      <c r="F1673" s="601" t="s">
        <v>551</v>
      </c>
      <c r="G1673" s="601">
        <v>52304</v>
      </c>
      <c r="H1673" s="601">
        <v>16641</v>
      </c>
      <c r="I1673" s="601">
        <v>103837</v>
      </c>
      <c r="J1673" s="601">
        <v>27301</v>
      </c>
      <c r="K1673" s="601">
        <v>-12949</v>
      </c>
      <c r="L1673" s="601" t="s">
        <v>23</v>
      </c>
    </row>
    <row r="1674" spans="1:12" hidden="1">
      <c r="A1674" s="601" t="s">
        <v>3513</v>
      </c>
      <c r="B1674" s="601" t="str">
        <f t="shared" si="26"/>
        <v xml:space="preserve">TILLYS </v>
      </c>
      <c r="C1674" s="601" t="str">
        <f>MID(Table3[[#This Row],[Statement Code]],FIND("- ",Table3[[#This Row],[Statement Code]])+2,100)</f>
        <v>EARNINGS PER SHARE</v>
      </c>
      <c r="D1674" s="602" t="s">
        <v>3514</v>
      </c>
      <c r="E1674" s="601" t="s">
        <v>3440</v>
      </c>
      <c r="F1674" s="601" t="s">
        <v>551</v>
      </c>
      <c r="G1674" s="601">
        <v>0.75900000000000001</v>
      </c>
      <c r="H1674" s="601">
        <v>-3.9E-2</v>
      </c>
      <c r="I1674" s="601">
        <v>2.0649999999999999</v>
      </c>
      <c r="J1674" s="601">
        <v>0.31900000000000001</v>
      </c>
      <c r="K1674" s="601">
        <v>-1.1559999999999999</v>
      </c>
      <c r="L1674" s="601" t="s">
        <v>23</v>
      </c>
    </row>
    <row r="1675" spans="1:12" hidden="1">
      <c r="A1675" s="601" t="s">
        <v>3515</v>
      </c>
      <c r="B1675" s="601" t="str">
        <f t="shared" si="26"/>
        <v xml:space="preserve">TILLYS </v>
      </c>
      <c r="C1675" s="601" t="str">
        <f>MID(Table3[[#This Row],[Statement Code]],FIND("- ",Table3[[#This Row],[Statement Code]])+2,100)</f>
        <v>FISCAL EPS-FULLY DILUTED-YR</v>
      </c>
      <c r="D1675" s="602" t="s">
        <v>3516</v>
      </c>
      <c r="E1675" s="601" t="s">
        <v>3440</v>
      </c>
      <c r="F1675" s="601" t="s">
        <v>551</v>
      </c>
      <c r="G1675" s="601">
        <v>0.75900000000000001</v>
      </c>
      <c r="H1675" s="601">
        <v>-3.9E-2</v>
      </c>
      <c r="I1675" s="601">
        <v>2.0649999999999999</v>
      </c>
      <c r="J1675" s="601">
        <v>0.31900000000000001</v>
      </c>
      <c r="K1675" s="601">
        <v>-1.1559999999999999</v>
      </c>
      <c r="L1675" s="601" t="s">
        <v>23</v>
      </c>
    </row>
    <row r="1676" spans="1:12" hidden="1">
      <c r="A1676" s="601" t="s">
        <v>3517</v>
      </c>
      <c r="B1676" s="601" t="str">
        <f t="shared" si="26"/>
        <v xml:space="preserve">TILLYS </v>
      </c>
      <c r="C1676" s="601" t="str">
        <f>MID(Table3[[#This Row],[Statement Code]],FIND("- ",Table3[[#This Row],[Statement Code]])+2,100)</f>
        <v>ENTERPRISE VALUE</v>
      </c>
      <c r="D1676" s="602" t="s">
        <v>3518</v>
      </c>
      <c r="E1676" s="601" t="s">
        <v>3440</v>
      </c>
      <c r="F1676" s="601" t="s">
        <v>551</v>
      </c>
      <c r="G1676" s="601">
        <v>112780</v>
      </c>
      <c r="H1676" s="601">
        <v>150734</v>
      </c>
      <c r="I1676" s="601">
        <v>256031</v>
      </c>
      <c r="J1676" s="601">
        <v>146573</v>
      </c>
      <c r="K1676" s="601">
        <v>130702</v>
      </c>
      <c r="L1676" s="601" t="s">
        <v>23</v>
      </c>
    </row>
    <row r="1677" spans="1:12">
      <c r="A1677" s="601" t="s">
        <v>3519</v>
      </c>
      <c r="B1677" s="601" t="str">
        <f t="shared" si="26"/>
        <v xml:space="preserve">TILLYS </v>
      </c>
      <c r="C1677" s="601" t="str">
        <f>MID(Table3[[#This Row],[Statement Code]],FIND("- ",Table3[[#This Row],[Statement Code]])+2,100)</f>
        <v>GROSS INCOME</v>
      </c>
      <c r="D1677" s="602" t="s">
        <v>3520</v>
      </c>
      <c r="E1677" s="601" t="s">
        <v>3440</v>
      </c>
      <c r="F1677" s="601" t="s">
        <v>551</v>
      </c>
      <c r="G1677" s="601">
        <v>186708</v>
      </c>
      <c r="H1677" s="601">
        <v>142190</v>
      </c>
      <c r="I1677" s="601">
        <v>276663</v>
      </c>
      <c r="J1677" s="601">
        <v>202748</v>
      </c>
      <c r="K1677" s="601">
        <v>165657</v>
      </c>
      <c r="L1677" s="601" t="s">
        <v>23</v>
      </c>
    </row>
    <row r="1678" spans="1:12">
      <c r="A1678" s="601" t="s">
        <v>3521</v>
      </c>
      <c r="B1678" s="601" t="str">
        <f t="shared" si="26"/>
        <v xml:space="preserve">TILLYS </v>
      </c>
      <c r="C1678" s="601" t="str">
        <f>MID(Table3[[#This Row],[Statement Code]],FIND("- ",Table3[[#This Row],[Statement Code]])+2,100)</f>
        <v>INCOME TAXES</v>
      </c>
      <c r="D1678" s="602" t="s">
        <v>3522</v>
      </c>
      <c r="E1678" s="601" t="s">
        <v>3440</v>
      </c>
      <c r="F1678" s="601" t="s">
        <v>551</v>
      </c>
      <c r="G1678" s="601">
        <v>8734</v>
      </c>
      <c r="H1678" s="601">
        <v>-1314</v>
      </c>
      <c r="I1678" s="601">
        <v>22752</v>
      </c>
      <c r="J1678" s="601">
        <v>3490</v>
      </c>
      <c r="K1678" s="601">
        <v>8709</v>
      </c>
      <c r="L1678" s="601" t="s">
        <v>23</v>
      </c>
    </row>
    <row r="1679" spans="1:12" hidden="1">
      <c r="A1679" s="601" t="s">
        <v>3523</v>
      </c>
      <c r="B1679" s="601" t="str">
        <f t="shared" si="26"/>
        <v xml:space="preserve">TILLYS </v>
      </c>
      <c r="C1679" s="601" t="str">
        <f>MID(Table3[[#This Row],[Statement Code]],FIND("- ",Table3[[#This Row],[Statement Code]])+2,100)</f>
        <v>INCREASE/DECREASE IN CASH/SHOR</v>
      </c>
      <c r="D1679" s="602" t="s">
        <v>3524</v>
      </c>
      <c r="E1679" s="601" t="s">
        <v>3440</v>
      </c>
      <c r="F1679" s="601" t="s">
        <v>551</v>
      </c>
      <c r="G1679" s="601">
        <v>1977</v>
      </c>
      <c r="H1679" s="601">
        <v>6047</v>
      </c>
      <c r="I1679" s="601">
        <v>-33983</v>
      </c>
      <c r="J1679" s="601">
        <v>31325</v>
      </c>
      <c r="K1679" s="601">
        <v>-26499</v>
      </c>
      <c r="L1679" s="601" t="s">
        <v>23</v>
      </c>
    </row>
    <row r="1680" spans="1:12">
      <c r="A1680" s="601" t="s">
        <v>3525</v>
      </c>
      <c r="B1680" s="601" t="str">
        <f t="shared" si="26"/>
        <v xml:space="preserve">TILLYS </v>
      </c>
      <c r="C1680" s="601" t="str">
        <f>MID(Table3[[#This Row],[Statement Code]],FIND("- ",Table3[[#This Row],[Statement Code]])+2,100)</f>
        <v>INTEREST EXPENSE ON DEBT</v>
      </c>
      <c r="D1680" s="602" t="s">
        <v>3526</v>
      </c>
      <c r="E1680" s="601" t="s">
        <v>3440</v>
      </c>
      <c r="F1680" s="601" t="s">
        <v>551</v>
      </c>
      <c r="G1680" s="601">
        <v>0</v>
      </c>
      <c r="H1680" s="601">
        <v>0</v>
      </c>
      <c r="I1680" s="601">
        <v>0</v>
      </c>
      <c r="J1680" s="601">
        <v>0</v>
      </c>
      <c r="K1680" s="601">
        <v>0</v>
      </c>
      <c r="L1680" s="601" t="s">
        <v>23</v>
      </c>
    </row>
    <row r="1681" spans="1:12" hidden="1">
      <c r="A1681" s="601" t="s">
        <v>3527</v>
      </c>
      <c r="B1681" s="601" t="str">
        <f t="shared" si="26"/>
        <v xml:space="preserve">TILLYS </v>
      </c>
      <c r="C1681" s="601" t="str">
        <f>MID(Table3[[#This Row],[Statement Code]],FIND("- ",Table3[[#This Row],[Statement Code]])+2,100)</f>
        <v>TOTAL INVENTORIES</v>
      </c>
      <c r="D1681" s="602" t="s">
        <v>3528</v>
      </c>
      <c r="E1681" s="601" t="s">
        <v>3440</v>
      </c>
      <c r="F1681" s="601" t="s">
        <v>551</v>
      </c>
      <c r="G1681" s="601">
        <v>56901</v>
      </c>
      <c r="H1681" s="601">
        <v>55698</v>
      </c>
      <c r="I1681" s="601">
        <v>65645</v>
      </c>
      <c r="J1681" s="601">
        <v>62117</v>
      </c>
      <c r="K1681" s="601">
        <v>63159</v>
      </c>
      <c r="L1681" s="601" t="s">
        <v>23</v>
      </c>
    </row>
    <row r="1682" spans="1:12">
      <c r="A1682" s="601" t="s">
        <v>3529</v>
      </c>
      <c r="B1682" s="601" t="str">
        <f t="shared" si="26"/>
        <v xml:space="preserve">TILLYS </v>
      </c>
      <c r="C1682" s="601" t="str">
        <f>MID(Table3[[#This Row],[Statement Code]],FIND("- ",Table3[[#This Row],[Statement Code]])+2,100)</f>
        <v>LONG TERM DEBT</v>
      </c>
      <c r="D1682" s="602" t="s">
        <v>3530</v>
      </c>
      <c r="E1682" s="601" t="s">
        <v>3440</v>
      </c>
      <c r="F1682" s="601" t="s">
        <v>551</v>
      </c>
      <c r="G1682" s="601">
        <v>0</v>
      </c>
      <c r="H1682" s="601">
        <v>0</v>
      </c>
      <c r="I1682" s="601">
        <v>0</v>
      </c>
      <c r="J1682" s="601">
        <v>0</v>
      </c>
      <c r="K1682" s="601">
        <v>0</v>
      </c>
      <c r="L1682" s="601" t="s">
        <v>23</v>
      </c>
    </row>
    <row r="1683" spans="1:12" hidden="1">
      <c r="A1683" s="601" t="s">
        <v>3531</v>
      </c>
      <c r="B1683" s="601" t="str">
        <f t="shared" si="26"/>
        <v xml:space="preserve">TILLYS </v>
      </c>
      <c r="C1683" s="601" t="str">
        <f>MID(Table3[[#This Row],[Statement Code]],FIND("- ",Table3[[#This Row],[Statement Code]])+2,100)</f>
        <v>MARKET CAPITALIZATION</v>
      </c>
      <c r="D1683" s="602" t="s">
        <v>3532</v>
      </c>
      <c r="E1683" s="601" t="s">
        <v>3440</v>
      </c>
      <c r="F1683" s="601" t="s">
        <v>551</v>
      </c>
      <c r="G1683" s="601">
        <v>364180</v>
      </c>
      <c r="H1683" s="601">
        <v>243029</v>
      </c>
      <c r="I1683" s="601">
        <v>499813</v>
      </c>
      <c r="J1683" s="601">
        <v>270305</v>
      </c>
      <c r="K1683" s="601">
        <v>226351</v>
      </c>
      <c r="L1683" s="601" t="s">
        <v>23</v>
      </c>
    </row>
    <row r="1684" spans="1:12" hidden="1">
      <c r="A1684" s="601" t="s">
        <v>3533</v>
      </c>
      <c r="B1684" s="601" t="str">
        <f t="shared" si="26"/>
        <v xml:space="preserve">TILLYS </v>
      </c>
      <c r="C1684" s="601" t="str">
        <f>MID(Table3[[#This Row],[Statement Code]],FIND("- ",Table3[[#This Row],[Statement Code]])+2,100)</f>
        <v>NET CASH FLOW - FINANCING</v>
      </c>
      <c r="D1684" s="602" t="s">
        <v>3534</v>
      </c>
      <c r="E1684" s="601" t="s">
        <v>3440</v>
      </c>
      <c r="F1684" s="601" t="s">
        <v>551</v>
      </c>
      <c r="G1684" s="601">
        <v>-27948</v>
      </c>
      <c r="H1684" s="601">
        <v>-29653</v>
      </c>
      <c r="I1684" s="601">
        <v>-52057</v>
      </c>
      <c r="J1684" s="601">
        <v>-10065</v>
      </c>
      <c r="K1684" s="601">
        <v>227</v>
      </c>
      <c r="L1684" s="601" t="s">
        <v>23</v>
      </c>
    </row>
    <row r="1685" spans="1:12" hidden="1">
      <c r="A1685" s="601" t="s">
        <v>3535</v>
      </c>
      <c r="B1685" s="601" t="str">
        <f t="shared" si="26"/>
        <v xml:space="preserve">TILLYS </v>
      </c>
      <c r="C1685" s="601" t="str">
        <f>MID(Table3[[#This Row],[Statement Code]],FIND("- ",Table3[[#This Row],[Statement Code]])+2,100)</f>
        <v>NET CASH FLOW - INVESTING</v>
      </c>
      <c r="D1685" s="602" t="s">
        <v>3536</v>
      </c>
      <c r="E1685" s="601" t="s">
        <v>3440</v>
      </c>
      <c r="F1685" s="601" t="s">
        <v>551</v>
      </c>
      <c r="G1685" s="601">
        <v>6509</v>
      </c>
      <c r="H1685" s="601">
        <v>3197</v>
      </c>
      <c r="I1685" s="601">
        <v>45328</v>
      </c>
      <c r="J1685" s="601">
        <v>-42805</v>
      </c>
      <c r="K1685" s="601">
        <v>19993</v>
      </c>
      <c r="L1685" s="601" t="s">
        <v>23</v>
      </c>
    </row>
    <row r="1686" spans="1:12" hidden="1">
      <c r="A1686" s="601" t="s">
        <v>3537</v>
      </c>
      <c r="B1686" s="601" t="str">
        <f t="shared" si="26"/>
        <v xml:space="preserve">TILLYS </v>
      </c>
      <c r="C1686" s="601" t="str">
        <f>MID(Table3[[#This Row],[Statement Code]],FIND("- ",Table3[[#This Row],[Statement Code]])+2,100)</f>
        <v>NET CASH FLOW-OPERATING ACTIVS</v>
      </c>
      <c r="D1686" s="602" t="s">
        <v>3538</v>
      </c>
      <c r="E1686" s="601" t="s">
        <v>3440</v>
      </c>
      <c r="F1686" s="601" t="s">
        <v>551</v>
      </c>
      <c r="G1686" s="601">
        <v>36434</v>
      </c>
      <c r="H1686" s="601">
        <v>38897</v>
      </c>
      <c r="I1686" s="601">
        <v>63402</v>
      </c>
      <c r="J1686" s="601">
        <v>-1415</v>
      </c>
      <c r="K1686" s="601">
        <v>-6733</v>
      </c>
      <c r="L1686" s="601" t="s">
        <v>23</v>
      </c>
    </row>
    <row r="1687" spans="1:12" hidden="1">
      <c r="A1687" s="601" t="s">
        <v>3539</v>
      </c>
      <c r="B1687" s="601" t="str">
        <f t="shared" si="26"/>
        <v xml:space="preserve">TILLYS </v>
      </c>
      <c r="C1687" s="601" t="str">
        <f>MID(Table3[[#This Row],[Statement Code]],FIND("- ",Table3[[#This Row],[Statement Code]])+2,100)</f>
        <v>NET DEBT</v>
      </c>
      <c r="D1687" s="602" t="s">
        <v>3540</v>
      </c>
      <c r="E1687" s="601" t="s">
        <v>3440</v>
      </c>
      <c r="F1687" s="601" t="s">
        <v>551</v>
      </c>
      <c r="G1687" s="601">
        <v>-139917</v>
      </c>
      <c r="H1687" s="601">
        <v>-141139</v>
      </c>
      <c r="I1687" s="601">
        <v>-139228</v>
      </c>
      <c r="J1687" s="601">
        <v>-113279</v>
      </c>
      <c r="K1687" s="601">
        <v>-95048</v>
      </c>
      <c r="L1687" s="601" t="s">
        <v>23</v>
      </c>
    </row>
    <row r="1688" spans="1:12">
      <c r="A1688" s="601" t="s">
        <v>3541</v>
      </c>
      <c r="B1688" s="601" t="str">
        <f t="shared" si="26"/>
        <v xml:space="preserve">TILLYS </v>
      </c>
      <c r="C1688" s="601" t="str">
        <f>MID(Table3[[#This Row],[Statement Code]],FIND("- ",Table3[[#This Row],[Statement Code]])+2,100)</f>
        <v>NET INCOME - DILUTED</v>
      </c>
      <c r="D1688" s="602" t="s">
        <v>3542</v>
      </c>
      <c r="E1688" s="601" t="s">
        <v>3440</v>
      </c>
      <c r="F1688" s="601" t="s">
        <v>551</v>
      </c>
      <c r="G1688" s="601">
        <v>22622</v>
      </c>
      <c r="H1688" s="601">
        <v>-1145</v>
      </c>
      <c r="I1688" s="601">
        <v>64249</v>
      </c>
      <c r="J1688" s="601">
        <v>9677</v>
      </c>
      <c r="K1688" s="601">
        <v>-34492</v>
      </c>
      <c r="L1688" s="601" t="s">
        <v>23</v>
      </c>
    </row>
    <row r="1689" spans="1:12">
      <c r="A1689" s="601" t="s">
        <v>3543</v>
      </c>
      <c r="B1689" s="601" t="str">
        <f t="shared" si="26"/>
        <v xml:space="preserve">TILLYS </v>
      </c>
      <c r="C1689" s="601" t="str">
        <f>MID(Table3[[#This Row],[Statement Code]],FIND("- ",Table3[[#This Row],[Statement Code]])+2,100)</f>
        <v>NET SALES OR REVENUES</v>
      </c>
      <c r="D1689" s="602" t="s">
        <v>3544</v>
      </c>
      <c r="E1689" s="601" t="s">
        <v>3440</v>
      </c>
      <c r="F1689" s="601" t="s">
        <v>551</v>
      </c>
      <c r="G1689" s="601">
        <v>619300</v>
      </c>
      <c r="H1689" s="601">
        <v>531329</v>
      </c>
      <c r="I1689" s="601">
        <v>775694</v>
      </c>
      <c r="J1689" s="601">
        <v>672280</v>
      </c>
      <c r="K1689" s="601">
        <v>623083</v>
      </c>
      <c r="L1689" s="601" t="s">
        <v>23</v>
      </c>
    </row>
    <row r="1690" spans="1:12" hidden="1">
      <c r="A1690" s="601" t="s">
        <v>3545</v>
      </c>
      <c r="B1690" s="601" t="str">
        <f t="shared" si="26"/>
        <v xml:space="preserve">TILLYS </v>
      </c>
      <c r="C1690" s="601" t="str">
        <f>MID(Table3[[#This Row],[Statement Code]],FIND("- ",Table3[[#This Row],[Statement Code]])+2,100)</f>
        <v>OPERATING EXPENSES - TOTAL</v>
      </c>
      <c r="D1690" s="602" t="s">
        <v>3546</v>
      </c>
      <c r="E1690" s="601" t="s">
        <v>3440</v>
      </c>
      <c r="F1690" s="601" t="s">
        <v>551</v>
      </c>
      <c r="G1690" s="601">
        <v>590545</v>
      </c>
      <c r="H1690" s="601">
        <v>533369</v>
      </c>
      <c r="I1690" s="601">
        <v>687999</v>
      </c>
      <c r="J1690" s="601">
        <v>661076</v>
      </c>
      <c r="K1690" s="601">
        <v>650665</v>
      </c>
      <c r="L1690" s="601" t="s">
        <v>23</v>
      </c>
    </row>
    <row r="1691" spans="1:12">
      <c r="A1691" s="601" t="s">
        <v>3547</v>
      </c>
      <c r="B1691" s="601" t="str">
        <f t="shared" si="26"/>
        <v xml:space="preserve">TILLYS </v>
      </c>
      <c r="C1691" s="601" t="str">
        <f>MID(Table3[[#This Row],[Statement Code]],FIND("- ",Table3[[#This Row],[Statement Code]])+2,100)</f>
        <v>OPERATING INCOME</v>
      </c>
      <c r="D1691" s="602" t="s">
        <v>3548</v>
      </c>
      <c r="E1691" s="601" t="s">
        <v>3440</v>
      </c>
      <c r="F1691" s="601" t="s">
        <v>551</v>
      </c>
      <c r="G1691" s="601">
        <v>28755</v>
      </c>
      <c r="H1691" s="601">
        <v>-2040</v>
      </c>
      <c r="I1691" s="601">
        <v>87695</v>
      </c>
      <c r="J1691" s="601">
        <v>11204</v>
      </c>
      <c r="K1691" s="601">
        <v>-27582</v>
      </c>
      <c r="L1691" s="601" t="s">
        <v>23</v>
      </c>
    </row>
    <row r="1692" spans="1:12" hidden="1">
      <c r="A1692" s="601" t="s">
        <v>3549</v>
      </c>
      <c r="B1692" s="601" t="str">
        <f t="shared" si="26"/>
        <v xml:space="preserve">TILLYS </v>
      </c>
      <c r="C1692" s="601" t="str">
        <f>MID(Table3[[#This Row],[Statement Code]],FIND("- ",Table3[[#This Row],[Statement Code]])+2,100)</f>
        <v>PRETAX INCOME</v>
      </c>
      <c r="D1692" s="602" t="s">
        <v>3550</v>
      </c>
      <c r="E1692" s="601" t="s">
        <v>3440</v>
      </c>
      <c r="F1692" s="601" t="s">
        <v>551</v>
      </c>
      <c r="G1692" s="601">
        <v>31356</v>
      </c>
      <c r="H1692" s="601">
        <v>-2459</v>
      </c>
      <c r="I1692" s="601">
        <v>87001</v>
      </c>
      <c r="J1692" s="601">
        <v>13167</v>
      </c>
      <c r="K1692" s="601">
        <v>-25783</v>
      </c>
      <c r="L1692" s="601" t="s">
        <v>23</v>
      </c>
    </row>
    <row r="1693" spans="1:12" hidden="1">
      <c r="A1693" s="601" t="s">
        <v>3551</v>
      </c>
      <c r="B1693" s="601" t="str">
        <f t="shared" si="26"/>
        <v xml:space="preserve">TILLYS </v>
      </c>
      <c r="C1693" s="601" t="str">
        <f>MID(Table3[[#This Row],[Statement Code]],FIND("- ",Table3[[#This Row],[Statement Code]])+2,100)</f>
        <v>PROPERTY, PLANT &amp; EQUIP - NET</v>
      </c>
      <c r="D1693" s="602" t="s">
        <v>3552</v>
      </c>
      <c r="E1693" s="601" t="s">
        <v>3440</v>
      </c>
      <c r="F1693" s="601" t="s">
        <v>551</v>
      </c>
      <c r="G1693" s="601">
        <v>329825</v>
      </c>
      <c r="H1693" s="601">
        <v>280520</v>
      </c>
      <c r="I1693" s="601">
        <v>264038</v>
      </c>
      <c r="J1693" s="601">
        <v>263480</v>
      </c>
      <c r="K1693" s="601">
        <v>251888</v>
      </c>
      <c r="L1693" s="601" t="s">
        <v>23</v>
      </c>
    </row>
    <row r="1694" spans="1:12" hidden="1">
      <c r="A1694" s="601" t="s">
        <v>3553</v>
      </c>
      <c r="B1694" s="601" t="str">
        <f t="shared" si="26"/>
        <v xml:space="preserve">TILLYS </v>
      </c>
      <c r="C1694" s="601" t="str">
        <f>MID(Table3[[#This Row],[Statement Code]],FIND("- ",Table3[[#This Row],[Statement Code]])+2,100)</f>
        <v>RECEIVABLES(NET)</v>
      </c>
      <c r="D1694" s="602" t="s">
        <v>3554</v>
      </c>
      <c r="E1694" s="601" t="s">
        <v>3440</v>
      </c>
      <c r="F1694" s="601" t="s">
        <v>551</v>
      </c>
      <c r="G1694" s="601">
        <v>7485</v>
      </c>
      <c r="H1694" s="601">
        <v>8724</v>
      </c>
      <c r="I1694" s="601">
        <v>6705</v>
      </c>
      <c r="J1694" s="601">
        <v>9240</v>
      </c>
      <c r="K1694" s="601">
        <v>5947</v>
      </c>
      <c r="L1694" s="601" t="s">
        <v>23</v>
      </c>
    </row>
    <row r="1695" spans="1:12">
      <c r="A1695" s="601" t="s">
        <v>3555</v>
      </c>
      <c r="B1695" s="601" t="str">
        <f t="shared" si="26"/>
        <v xml:space="preserve">TILLYS </v>
      </c>
      <c r="C1695" s="601" t="str">
        <f>MID(Table3[[#This Row],[Statement Code]],FIND("- ",Table3[[#This Row],[Statement Code]])+2,100)</f>
        <v>SELLING, GENERAL &amp; ADMINISTRAT</v>
      </c>
      <c r="D1695" s="602" t="s">
        <v>3556</v>
      </c>
      <c r="E1695" s="601" t="s">
        <v>3440</v>
      </c>
      <c r="F1695" s="601" t="s">
        <v>551</v>
      </c>
      <c r="G1695" s="601">
        <v>157953</v>
      </c>
      <c r="H1695" s="601">
        <v>144230</v>
      </c>
      <c r="I1695" s="601">
        <v>188968</v>
      </c>
      <c r="J1695" s="601">
        <v>191544</v>
      </c>
      <c r="K1695" s="601">
        <v>193239</v>
      </c>
      <c r="L1695" s="601" t="s">
        <v>23</v>
      </c>
    </row>
    <row r="1696" spans="1:12" hidden="1">
      <c r="A1696" s="601" t="s">
        <v>3557</v>
      </c>
      <c r="B1696" s="601" t="str">
        <f t="shared" si="26"/>
        <v xml:space="preserve">TILLYS </v>
      </c>
      <c r="C1696" s="601" t="str">
        <f>MID(Table3[[#This Row],[Statement Code]],FIND("- ",Table3[[#This Row],[Statement Code]])+2,100)</f>
        <v>SHORT TERM DEBT &amp; CURRENT PORT</v>
      </c>
      <c r="D1696" s="602" t="s">
        <v>3558</v>
      </c>
      <c r="E1696" s="601" t="s">
        <v>3440</v>
      </c>
      <c r="F1696" s="601" t="s">
        <v>551</v>
      </c>
      <c r="G1696" s="601">
        <v>0</v>
      </c>
      <c r="H1696" s="601">
        <v>0</v>
      </c>
      <c r="I1696" s="601">
        <v>0</v>
      </c>
      <c r="J1696" s="601">
        <v>0</v>
      </c>
      <c r="K1696" s="601">
        <v>0</v>
      </c>
      <c r="L1696" s="601" t="s">
        <v>23</v>
      </c>
    </row>
    <row r="1697" spans="1:12">
      <c r="A1697" s="601" t="s">
        <v>3559</v>
      </c>
      <c r="B1697" s="601" t="str">
        <f t="shared" si="26"/>
        <v xml:space="preserve">TILLYS </v>
      </c>
      <c r="C1697" s="601" t="str">
        <f>MID(Table3[[#This Row],[Statement Code]],FIND("- ",Table3[[#This Row],[Statement Code]])+2,100)</f>
        <v>TOTAL ASSETS</v>
      </c>
      <c r="D1697" s="602" t="s">
        <v>3560</v>
      </c>
      <c r="E1697" s="601" t="s">
        <v>3440</v>
      </c>
      <c r="F1697" s="601" t="s">
        <v>551</v>
      </c>
      <c r="G1697" s="601">
        <v>539641</v>
      </c>
      <c r="H1697" s="601">
        <v>493524</v>
      </c>
      <c r="I1697" s="601">
        <v>493377</v>
      </c>
      <c r="J1697" s="601">
        <v>467255</v>
      </c>
      <c r="K1697" s="601">
        <v>429545</v>
      </c>
      <c r="L1697" s="601" t="s">
        <v>23</v>
      </c>
    </row>
    <row r="1698" spans="1:12" hidden="1">
      <c r="A1698" s="601" t="s">
        <v>3561</v>
      </c>
      <c r="B1698" s="601" t="str">
        <f t="shared" si="26"/>
        <v xml:space="preserve">TILLYS </v>
      </c>
      <c r="C1698" s="601" t="str">
        <f>MID(Table3[[#This Row],[Statement Code]],FIND("- ",Table3[[#This Row],[Statement Code]])+2,100)</f>
        <v>TOTAL CAPITAL</v>
      </c>
      <c r="D1698" s="602" t="s">
        <v>3562</v>
      </c>
      <c r="E1698" s="601" t="s">
        <v>3440</v>
      </c>
      <c r="F1698" s="601" t="s">
        <v>551</v>
      </c>
      <c r="G1698" s="601">
        <v>159901</v>
      </c>
      <c r="H1698" s="601">
        <v>160622</v>
      </c>
      <c r="I1698" s="601">
        <v>174713</v>
      </c>
      <c r="J1698" s="601">
        <v>176798</v>
      </c>
      <c r="K1698" s="601">
        <v>144869</v>
      </c>
      <c r="L1698" s="601" t="s">
        <v>23</v>
      </c>
    </row>
    <row r="1699" spans="1:12">
      <c r="A1699" s="601" t="s">
        <v>3563</v>
      </c>
      <c r="B1699" s="601" t="str">
        <f t="shared" si="26"/>
        <v xml:space="preserve">TILLYS </v>
      </c>
      <c r="C1699" s="601" t="str">
        <f>MID(Table3[[#This Row],[Statement Code]],FIND("- ",Table3[[#This Row],[Statement Code]])+2,100)</f>
        <v>TOTAL DEBT</v>
      </c>
      <c r="D1699" s="602" t="s">
        <v>3564</v>
      </c>
      <c r="E1699" s="601" t="s">
        <v>3440</v>
      </c>
      <c r="F1699" s="601" t="s">
        <v>551</v>
      </c>
      <c r="G1699" s="601">
        <v>0</v>
      </c>
      <c r="H1699" s="601">
        <v>0</v>
      </c>
      <c r="I1699" s="601">
        <v>0</v>
      </c>
      <c r="J1699" s="601">
        <v>0</v>
      </c>
      <c r="K1699" s="601">
        <v>0</v>
      </c>
      <c r="L1699" s="601" t="s">
        <v>23</v>
      </c>
    </row>
    <row r="1700" spans="1:12" hidden="1">
      <c r="A1700" s="601" t="s">
        <v>3565</v>
      </c>
      <c r="B1700" s="601" t="str">
        <f t="shared" si="26"/>
        <v xml:space="preserve">TILLYS </v>
      </c>
      <c r="C1700" s="601" t="str">
        <f>MID(Table3[[#This Row],[Statement Code]],FIND("- ",Table3[[#This Row],[Statement Code]])+2,100)</f>
        <v>TOTAL INTANGIBLE OT ASSETS-NET</v>
      </c>
      <c r="D1700" s="602" t="s">
        <v>3566</v>
      </c>
      <c r="E1700" s="601" t="s">
        <v>3440</v>
      </c>
      <c r="F1700" s="601" t="s">
        <v>551</v>
      </c>
      <c r="G1700" s="601">
        <v>0</v>
      </c>
      <c r="H1700" s="601">
        <v>0</v>
      </c>
      <c r="I1700" s="601">
        <v>0</v>
      </c>
      <c r="J1700" s="601">
        <v>0</v>
      </c>
      <c r="K1700" s="601">
        <v>0</v>
      </c>
      <c r="L1700" s="601" t="s">
        <v>23</v>
      </c>
    </row>
    <row r="1701" spans="1:12">
      <c r="A1701" s="601" t="s">
        <v>3567</v>
      </c>
      <c r="B1701" s="601" t="str">
        <f t="shared" si="26"/>
        <v xml:space="preserve">TILLYS </v>
      </c>
      <c r="C1701" s="601" t="str">
        <f>MID(Table3[[#This Row],[Statement Code]],FIND("- ",Table3[[#This Row],[Statement Code]])+2,100)</f>
        <v>TOTAL LIABILITIES</v>
      </c>
      <c r="D1701" s="602" t="s">
        <v>3568</v>
      </c>
      <c r="E1701" s="601" t="s">
        <v>3440</v>
      </c>
      <c r="F1701" s="601" t="s">
        <v>551</v>
      </c>
      <c r="G1701" s="601">
        <v>379740</v>
      </c>
      <c r="H1701" s="601">
        <v>332902</v>
      </c>
      <c r="I1701" s="601">
        <v>318664</v>
      </c>
      <c r="J1701" s="601">
        <v>290457</v>
      </c>
      <c r="K1701" s="601">
        <v>284676</v>
      </c>
      <c r="L1701" s="601" t="s">
        <v>23</v>
      </c>
    </row>
    <row r="1702" spans="1:12" hidden="1">
      <c r="A1702" s="601" t="s">
        <v>3569</v>
      </c>
      <c r="B1702" s="601" t="str">
        <f t="shared" si="26"/>
        <v xml:space="preserve">TILLYS </v>
      </c>
      <c r="C1702" s="601" t="str">
        <f>MID(Table3[[#This Row],[Statement Code]],FIND("- ",Table3[[#This Row],[Statement Code]])+2,100)</f>
        <v>TOTAL LIABILITIES &amp; SHAREHOLDE</v>
      </c>
      <c r="D1702" s="602" t="s">
        <v>3570</v>
      </c>
      <c r="E1702" s="601" t="s">
        <v>3440</v>
      </c>
      <c r="F1702" s="601" t="s">
        <v>551</v>
      </c>
      <c r="G1702" s="601">
        <v>539641</v>
      </c>
      <c r="H1702" s="601">
        <v>493524</v>
      </c>
      <c r="I1702" s="601">
        <v>493377</v>
      </c>
      <c r="J1702" s="601">
        <v>467255</v>
      </c>
      <c r="K1702" s="601">
        <v>429545</v>
      </c>
      <c r="L1702" s="601" t="s">
        <v>23</v>
      </c>
    </row>
    <row r="1703" spans="1:12" hidden="1">
      <c r="A1703" s="601" t="s">
        <v>3571</v>
      </c>
      <c r="B1703" s="601" t="str">
        <f t="shared" si="26"/>
        <v xml:space="preserve">TILLYS </v>
      </c>
      <c r="C1703" s="601" t="str">
        <f>MID(Table3[[#This Row],[Statement Code]],FIND("- ",Table3[[#This Row],[Statement Code]])+2,100)</f>
        <v>TOTAL SHAREHOLDERS EQUITY</v>
      </c>
      <c r="D1703" s="602" t="s">
        <v>3572</v>
      </c>
      <c r="E1703" s="601" t="s">
        <v>3440</v>
      </c>
      <c r="F1703" s="601" t="s">
        <v>551</v>
      </c>
      <c r="G1703" s="601">
        <v>159901</v>
      </c>
      <c r="H1703" s="601">
        <v>160622</v>
      </c>
      <c r="I1703" s="601">
        <v>174713</v>
      </c>
      <c r="J1703" s="601">
        <v>176798</v>
      </c>
      <c r="K1703" s="601">
        <v>144869</v>
      </c>
      <c r="L1703" s="601" t="s">
        <v>23</v>
      </c>
    </row>
    <row r="1704" spans="1:12" hidden="1">
      <c r="A1704" s="601" t="s">
        <v>3573</v>
      </c>
      <c r="B1704" s="601" t="str">
        <f t="shared" si="26"/>
        <v xml:space="preserve">TILLYS </v>
      </c>
      <c r="C1704" s="601" t="str">
        <f>MID(Table3[[#This Row],[Statement Code]],FIND("- ",Table3[[#This Row],[Statement Code]])+2,100)</f>
        <v>WORKING CAPITAL</v>
      </c>
      <c r="D1704" s="602" t="s">
        <v>3574</v>
      </c>
      <c r="E1704" s="601" t="s">
        <v>3440</v>
      </c>
      <c r="F1704" s="601" t="s">
        <v>551</v>
      </c>
      <c r="G1704" s="601">
        <v>63598</v>
      </c>
      <c r="H1704" s="601">
        <v>78597</v>
      </c>
      <c r="I1704" s="601">
        <v>91811</v>
      </c>
      <c r="J1704" s="601">
        <v>94094</v>
      </c>
      <c r="K1704" s="601">
        <v>71502</v>
      </c>
      <c r="L1704" s="601" t="s">
        <v>23</v>
      </c>
    </row>
    <row r="1705" spans="1:12" hidden="1">
      <c r="A1705" s="601" t="s">
        <v>3575</v>
      </c>
      <c r="B1705" s="601" t="str">
        <f t="shared" si="26"/>
        <v xml:space="preserve">TILLY'S </v>
      </c>
      <c r="C1705" s="601" t="str">
        <f>MID(Table3[[#This Row],[Statement Code]],FIND("- ",Table3[[#This Row],[Statement Code]])+2,100)</f>
        <v>BK VAL PS 12M FWD</v>
      </c>
      <c r="D1705" s="602" t="s">
        <v>3576</v>
      </c>
      <c r="E1705" s="601" t="s">
        <v>3440</v>
      </c>
      <c r="F1705" s="601" t="s">
        <v>551</v>
      </c>
      <c r="G1705" s="601">
        <v>6.53</v>
      </c>
      <c r="H1705" s="601">
        <v>4.96</v>
      </c>
      <c r="I1705" s="601">
        <v>7.03</v>
      </c>
      <c r="J1705" s="601">
        <v>6.13</v>
      </c>
      <c r="K1705" s="601">
        <v>5.0999999999999996</v>
      </c>
      <c r="L1705" s="601">
        <v>3.55</v>
      </c>
    </row>
    <row r="1706" spans="1:12" hidden="1">
      <c r="A1706" s="601" t="s">
        <v>3577</v>
      </c>
      <c r="B1706" s="601" t="str">
        <f t="shared" si="26"/>
        <v xml:space="preserve">TILLY'S </v>
      </c>
      <c r="C1706" s="601" t="str">
        <f>MID(Table3[[#This Row],[Statement Code]],FIND("- ",Table3[[#This Row],[Statement Code]])+2,100)</f>
        <v>EV 12M FWD</v>
      </c>
      <c r="D1706" s="602" t="s">
        <v>3578</v>
      </c>
      <c r="E1706" s="601" t="s">
        <v>3440</v>
      </c>
      <c r="F1706" s="601" t="s">
        <v>551</v>
      </c>
      <c r="G1706" s="601">
        <v>211208.3</v>
      </c>
      <c r="H1706" s="601">
        <v>104920</v>
      </c>
      <c r="I1706" s="601">
        <v>351636.8</v>
      </c>
      <c r="J1706" s="601">
        <v>108510</v>
      </c>
      <c r="K1706" s="601">
        <v>181583.3</v>
      </c>
      <c r="L1706" s="601">
        <v>86356.56</v>
      </c>
    </row>
    <row r="1707" spans="1:12" hidden="1">
      <c r="A1707" s="601" t="s">
        <v>3579</v>
      </c>
      <c r="B1707" s="601" t="str">
        <f t="shared" si="26"/>
        <v xml:space="preserve">TILLY'S </v>
      </c>
      <c r="C1707" s="601" t="str">
        <f>MID(Table3[[#This Row],[Statement Code]],FIND("- ",Table3[[#This Row],[Statement Code]])+2,100)</f>
        <v>NET INCOME 12M FWD</v>
      </c>
      <c r="D1707" s="602" t="s">
        <v>3580</v>
      </c>
      <c r="E1707" s="601" t="s">
        <v>3440</v>
      </c>
      <c r="F1707" s="601" t="s">
        <v>551</v>
      </c>
      <c r="G1707" s="601">
        <v>23935</v>
      </c>
      <c r="H1707" s="601">
        <v>9143.33</v>
      </c>
      <c r="I1707" s="601">
        <v>46896.67</v>
      </c>
      <c r="J1707" s="601">
        <v>15490</v>
      </c>
      <c r="K1707" s="601">
        <v>-6310</v>
      </c>
      <c r="L1707" s="601">
        <v>-22372.91</v>
      </c>
    </row>
    <row r="1708" spans="1:12" hidden="1">
      <c r="A1708" s="601" t="s">
        <v>3581</v>
      </c>
      <c r="B1708" s="601" t="str">
        <f t="shared" si="26"/>
        <v xml:space="preserve">TILLY'S </v>
      </c>
      <c r="C1708" s="601" t="str">
        <f>MID(Table3[[#This Row],[Statement Code]],FIND("- ",Table3[[#This Row],[Statement Code]])+2,100)</f>
        <v>PRETAX PRF 12M FWD</v>
      </c>
      <c r="D1708" s="602" t="s">
        <v>3582</v>
      </c>
      <c r="E1708" s="601" t="s">
        <v>3440</v>
      </c>
      <c r="F1708" s="601" t="s">
        <v>551</v>
      </c>
      <c r="G1708" s="601">
        <v>32811.660000000003</v>
      </c>
      <c r="H1708" s="601">
        <v>11560</v>
      </c>
      <c r="I1708" s="601">
        <v>58849.99</v>
      </c>
      <c r="J1708" s="601">
        <v>21233.34</v>
      </c>
      <c r="K1708" s="601">
        <v>-8566.66</v>
      </c>
      <c r="L1708" s="601">
        <v>-22782.5</v>
      </c>
    </row>
    <row r="1709" spans="1:12" hidden="1">
      <c r="A1709" s="601" t="s">
        <v>3583</v>
      </c>
      <c r="B1709" s="601" t="str">
        <f t="shared" si="26"/>
        <v xml:space="preserve">TILLY'S </v>
      </c>
      <c r="C1709" s="601" t="str">
        <f>MID(Table3[[#This Row],[Statement Code]],FIND("- ",Table3[[#This Row],[Statement Code]])+2,100)</f>
        <v>ROE 12M FWD</v>
      </c>
      <c r="D1709" s="602" t="s">
        <v>3584</v>
      </c>
      <c r="E1709" s="601" t="s">
        <v>3440</v>
      </c>
      <c r="F1709" s="601" t="s">
        <v>551</v>
      </c>
      <c r="G1709" s="601">
        <v>13.49</v>
      </c>
      <c r="H1709" s="601">
        <v>6.28</v>
      </c>
      <c r="I1709" s="601">
        <v>23.54</v>
      </c>
      <c r="J1709" s="601">
        <v>7.59</v>
      </c>
      <c r="K1709" s="601" t="s">
        <v>23</v>
      </c>
      <c r="L1709" s="601" t="s">
        <v>23</v>
      </c>
    </row>
    <row r="1710" spans="1:12" hidden="1">
      <c r="A1710" s="601" t="s">
        <v>3585</v>
      </c>
      <c r="B1710" s="601" t="str">
        <f t="shared" si="26"/>
        <v xml:space="preserve">TILLY'S </v>
      </c>
      <c r="C1710" s="601" t="str">
        <f>MID(Table3[[#This Row],[Statement Code]],FIND("- ",Table3[[#This Row],[Statement Code]])+2,100)</f>
        <v>SALES 12M FWD</v>
      </c>
      <c r="D1710" s="602" t="s">
        <v>3586</v>
      </c>
      <c r="E1710" s="601" t="s">
        <v>3440</v>
      </c>
      <c r="F1710" s="601" t="s">
        <v>551</v>
      </c>
      <c r="G1710" s="601">
        <v>642110.1</v>
      </c>
      <c r="H1710" s="601">
        <v>575000</v>
      </c>
      <c r="I1710" s="601">
        <v>764630.1</v>
      </c>
      <c r="J1710" s="601">
        <v>685773.4</v>
      </c>
      <c r="K1710" s="601">
        <v>649636.80000000005</v>
      </c>
      <c r="L1710" s="601">
        <v>604524.19999999995</v>
      </c>
    </row>
    <row r="1711" spans="1:12" hidden="1">
      <c r="A1711" s="601" t="s">
        <v>3587</v>
      </c>
      <c r="B1711" s="601" t="str">
        <f t="shared" si="26"/>
        <v xml:space="preserve">TILLYS </v>
      </c>
      <c r="C1711" s="601" t="str">
        <f>MID(Table3[[#This Row],[Statement Code]],FIND("- ",Table3[[#This Row],[Statement Code]])+2,100)</f>
        <v>DECREASE/INCREASE RECEIVABLES</v>
      </c>
      <c r="D1711" s="602" t="s">
        <v>3588</v>
      </c>
      <c r="E1711" s="601" t="s">
        <v>3440</v>
      </c>
      <c r="F1711" s="601" t="s">
        <v>551</v>
      </c>
      <c r="G1711" s="601">
        <v>3204</v>
      </c>
      <c r="H1711" s="601">
        <v>96</v>
      </c>
      <c r="I1711" s="601">
        <v>4023</v>
      </c>
      <c r="J1711" s="601">
        <v>1710</v>
      </c>
      <c r="K1711" s="601">
        <v>5563</v>
      </c>
      <c r="L1711" s="601" t="s">
        <v>23</v>
      </c>
    </row>
    <row r="1712" spans="1:12" hidden="1">
      <c r="A1712" s="601" t="s">
        <v>3589</v>
      </c>
      <c r="B1712" s="601" t="str">
        <f t="shared" si="26"/>
        <v xml:space="preserve">TILLYS </v>
      </c>
      <c r="C1712" s="601" t="str">
        <f>MID(Table3[[#This Row],[Statement Code]],FIND("- ",Table3[[#This Row],[Statement Code]])+2,100)</f>
        <v>DECREASE/INCR OTH ASTS/LIABILT</v>
      </c>
      <c r="D1712" s="602" t="s">
        <v>3590</v>
      </c>
      <c r="E1712" s="601" t="s">
        <v>3440</v>
      </c>
      <c r="F1712" s="601" t="s">
        <v>551</v>
      </c>
      <c r="G1712" s="601">
        <v>1945</v>
      </c>
      <c r="H1712" s="601">
        <v>9</v>
      </c>
      <c r="I1712" s="601">
        <v>-7383</v>
      </c>
      <c r="J1712" s="601">
        <v>-3629</v>
      </c>
      <c r="K1712" s="601">
        <v>3860</v>
      </c>
      <c r="L1712" s="601" t="s">
        <v>23</v>
      </c>
    </row>
    <row r="1713" spans="1:12" hidden="1">
      <c r="A1713" s="601" t="s">
        <v>3591</v>
      </c>
      <c r="B1713" s="601" t="str">
        <f t="shared" si="26"/>
        <v xml:space="preserve">TILLYS </v>
      </c>
      <c r="C1713" s="601" t="str">
        <f>MID(Table3[[#This Row],[Statement Code]],FIND("- ",Table3[[#This Row],[Statement Code]])+2,100)</f>
        <v>DECREASE/INCREASE INVENTORIES</v>
      </c>
      <c r="D1713" s="602" t="s">
        <v>3592</v>
      </c>
      <c r="E1713" s="601" t="s">
        <v>3440</v>
      </c>
      <c r="F1713" s="601" t="s">
        <v>551</v>
      </c>
      <c r="G1713" s="601">
        <v>-1092</v>
      </c>
      <c r="H1713" s="601">
        <v>1203</v>
      </c>
      <c r="I1713" s="601">
        <v>-10064</v>
      </c>
      <c r="J1713" s="601">
        <v>3505</v>
      </c>
      <c r="K1713" s="601">
        <v>-1042</v>
      </c>
      <c r="L1713" s="601" t="s">
        <v>23</v>
      </c>
    </row>
    <row r="1714" spans="1:12" hidden="1">
      <c r="A1714" s="601" t="s">
        <v>3593</v>
      </c>
      <c r="B1714" s="601" t="str">
        <f t="shared" si="26"/>
        <v xml:space="preserve">TILLYS </v>
      </c>
      <c r="C1714" s="601" t="str">
        <f>MID(Table3[[#This Row],[Statement Code]],FIND("- ",Table3[[#This Row],[Statement Code]])+2,100)</f>
        <v>DECREASE IN INVESTMENTS</v>
      </c>
      <c r="D1714" s="602" t="s">
        <v>3594</v>
      </c>
      <c r="E1714" s="601" t="s">
        <v>3440</v>
      </c>
      <c r="F1714" s="601" t="s">
        <v>551</v>
      </c>
      <c r="G1714" s="601">
        <v>134316</v>
      </c>
      <c r="H1714" s="601">
        <v>86170</v>
      </c>
      <c r="I1714" s="601">
        <v>130352</v>
      </c>
      <c r="J1714" s="601">
        <v>147271</v>
      </c>
      <c r="K1714" s="601">
        <v>115000</v>
      </c>
      <c r="L1714" s="601" t="s">
        <v>23</v>
      </c>
    </row>
  </sheetData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AD6C4-8503-F440-A071-FC05FBA5A782}">
  <sheetPr codeName="Sheet5"/>
  <dimension ref="B1:P143"/>
  <sheetViews>
    <sheetView showGridLines="0" tabSelected="1" topLeftCell="A2" zoomScale="94" workbookViewId="0">
      <selection activeCell="E15" sqref="E15"/>
    </sheetView>
  </sheetViews>
  <sheetFormatPr baseColWidth="10" defaultRowHeight="16"/>
  <cols>
    <col min="1" max="1" width="1.1640625" customWidth="1"/>
    <col min="2" max="2" width="52.6640625" customWidth="1"/>
    <col min="3" max="3" width="1.33203125" customWidth="1"/>
    <col min="4" max="8" width="12.5" customWidth="1"/>
    <col min="9" max="9" width="11.5" bestFit="1" customWidth="1"/>
    <col min="12" max="12" width="12.5" bestFit="1" customWidth="1"/>
  </cols>
  <sheetData>
    <row r="1" spans="2:14" ht="23">
      <c r="B1" s="421" t="str">
        <f>IS!B1</f>
        <v>Urban Outfitters Inc. (Nasdaq: URBN)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2:14" ht="18">
      <c r="B2" s="202" t="s">
        <v>523</v>
      </c>
      <c r="C2" s="202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2:14">
      <c r="B3" s="203" t="s">
        <v>460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</row>
    <row r="5" spans="2:14">
      <c r="B5" s="178" t="s">
        <v>49</v>
      </c>
      <c r="C5" s="239"/>
      <c r="D5" s="80" t="str">
        <f>IS!J8</f>
        <v>FY2021A</v>
      </c>
      <c r="E5" s="80" t="str">
        <f>IS!K8</f>
        <v>FY2022A</v>
      </c>
      <c r="F5" s="80" t="str">
        <f>IS!L8</f>
        <v>FY2023A</v>
      </c>
      <c r="G5" s="80" t="str">
        <f>IS!M8</f>
        <v>FY2024A</v>
      </c>
      <c r="H5" s="621" t="str">
        <f>IS!N8</f>
        <v>FY2025A</v>
      </c>
      <c r="I5" s="505" t="s">
        <v>262</v>
      </c>
      <c r="J5" s="80" t="str">
        <f>IS!T8</f>
        <v>FY2026E</v>
      </c>
      <c r="K5" s="80" t="str">
        <f>IS!U8</f>
        <v>FY2027E</v>
      </c>
      <c r="L5" s="80" t="str">
        <f>IS!V8</f>
        <v>FY2028E</v>
      </c>
      <c r="M5" s="80" t="str">
        <f>IS!W8</f>
        <v>FY2029E</v>
      </c>
      <c r="N5" s="80" t="str">
        <f>IS!X8</f>
        <v>FY2030E</v>
      </c>
    </row>
    <row r="6" spans="2:14">
      <c r="B6" s="506"/>
      <c r="C6" s="506"/>
      <c r="D6" s="507"/>
      <c r="E6" s="507"/>
      <c r="F6" s="507"/>
      <c r="G6" s="508"/>
      <c r="H6" s="509"/>
      <c r="I6" s="511"/>
      <c r="J6" s="510"/>
      <c r="K6" s="510"/>
      <c r="L6" s="510"/>
      <c r="M6" s="510"/>
      <c r="N6" s="510"/>
    </row>
    <row r="7" spans="2:14">
      <c r="B7" s="506"/>
      <c r="C7" s="506"/>
      <c r="D7" s="507"/>
      <c r="E7" s="507"/>
      <c r="F7" s="507"/>
      <c r="G7" s="508"/>
      <c r="H7" s="509"/>
      <c r="I7" s="511"/>
      <c r="J7" s="510"/>
      <c r="K7" s="510"/>
      <c r="L7" s="510"/>
      <c r="M7" s="510"/>
      <c r="N7" s="510"/>
    </row>
    <row r="8" spans="2:14">
      <c r="B8" s="422" t="s">
        <v>46</v>
      </c>
      <c r="C8" s="506"/>
      <c r="D8" s="507"/>
      <c r="E8" s="507"/>
      <c r="F8" s="507"/>
      <c r="G8" s="508"/>
      <c r="H8" s="509"/>
      <c r="I8" s="511"/>
      <c r="J8" s="510"/>
      <c r="K8" s="510"/>
      <c r="L8" s="510"/>
      <c r="M8" s="510"/>
      <c r="N8" s="510"/>
    </row>
    <row r="9" spans="2:14">
      <c r="B9" s="512" t="s">
        <v>26</v>
      </c>
      <c r="C9" s="506"/>
      <c r="D9" s="508"/>
      <c r="E9" s="507"/>
      <c r="F9" s="508"/>
      <c r="G9" s="508"/>
      <c r="H9" s="509"/>
      <c r="I9" s="511"/>
      <c r="J9" s="510"/>
      <c r="K9" s="510"/>
      <c r="L9" s="510"/>
      <c r="M9" s="510"/>
      <c r="N9" s="510"/>
    </row>
    <row r="10" spans="2:14">
      <c r="B10" s="513" t="s">
        <v>57</v>
      </c>
      <c r="C10" s="506"/>
      <c r="D10" s="552">
        <v>221839</v>
      </c>
      <c r="E10" s="552">
        <v>395625</v>
      </c>
      <c r="F10" s="552">
        <v>206575</v>
      </c>
      <c r="G10" s="552">
        <v>201260</v>
      </c>
      <c r="H10" s="553">
        <v>178321</v>
      </c>
      <c r="I10" s="515">
        <f>H10</f>
        <v>178321</v>
      </c>
      <c r="J10" s="507">
        <f>CF!L43</f>
        <v>247974.46150383865</v>
      </c>
      <c r="K10" s="507">
        <f>CF!M43</f>
        <v>632450.96548302413</v>
      </c>
      <c r="L10" s="507">
        <f>CF!N43</f>
        <v>1023420.3741378868</v>
      </c>
      <c r="M10" s="507">
        <f>CF!O43</f>
        <v>1429898.0352219234</v>
      </c>
      <c r="N10" s="507">
        <f>CF!P43</f>
        <v>1834239.857650483</v>
      </c>
    </row>
    <row r="11" spans="2:14">
      <c r="B11" s="516" t="s">
        <v>27</v>
      </c>
      <c r="C11" s="506"/>
      <c r="D11" s="552">
        <v>211453</v>
      </c>
      <c r="E11" s="552">
        <v>174695</v>
      </c>
      <c r="F11" s="552">
        <v>239420</v>
      </c>
      <c r="G11" s="552">
        <v>181378</v>
      </c>
      <c r="H11" s="553">
        <v>286744</v>
      </c>
      <c r="I11" s="515">
        <f t="shared" ref="I11:I14" si="0">H11</f>
        <v>286744</v>
      </c>
      <c r="J11" s="507">
        <f>I11</f>
        <v>286744</v>
      </c>
      <c r="K11" s="507">
        <f t="shared" ref="K11:N11" si="1">J11</f>
        <v>286744</v>
      </c>
      <c r="L11" s="507">
        <f t="shared" si="1"/>
        <v>286744</v>
      </c>
      <c r="M11" s="507">
        <f t="shared" si="1"/>
        <v>286744</v>
      </c>
      <c r="N11" s="507">
        <f t="shared" si="1"/>
        <v>286744</v>
      </c>
    </row>
    <row r="12" spans="2:14">
      <c r="B12" s="516" t="s">
        <v>56</v>
      </c>
      <c r="C12" s="506"/>
      <c r="D12" s="552">
        <v>88288</v>
      </c>
      <c r="E12" s="552">
        <v>89952</v>
      </c>
      <c r="F12" s="552">
        <v>63760</v>
      </c>
      <c r="G12" s="552">
        <v>70339</v>
      </c>
      <c r="H12" s="553">
        <v>67008</v>
      </c>
      <c r="I12" s="515">
        <f t="shared" si="0"/>
        <v>67008</v>
      </c>
      <c r="J12" s="507">
        <f>NWC!J11</f>
        <v>88824.607285479462</v>
      </c>
      <c r="K12" s="507">
        <f>NWC!K11</f>
        <v>94509.382151750149</v>
      </c>
      <c r="L12" s="507">
        <f>NWC!L11</f>
        <v>100179.94508085516</v>
      </c>
      <c r="M12" s="507">
        <f>NWC!M11</f>
        <v>105990.38189554478</v>
      </c>
      <c r="N12" s="507">
        <f>NWC!N11</f>
        <v>111713.8625179042</v>
      </c>
    </row>
    <row r="13" spans="2:14">
      <c r="B13" s="516" t="s">
        <v>28</v>
      </c>
      <c r="C13" s="510"/>
      <c r="D13" s="552">
        <v>409534</v>
      </c>
      <c r="E13" s="552">
        <v>389618</v>
      </c>
      <c r="F13" s="552">
        <v>569699</v>
      </c>
      <c r="G13" s="552">
        <v>587510</v>
      </c>
      <c r="H13" s="553">
        <v>550242</v>
      </c>
      <c r="I13" s="515">
        <f t="shared" si="0"/>
        <v>550242</v>
      </c>
      <c r="J13" s="507">
        <f>NWC!J12</f>
        <v>718254.15201534261</v>
      </c>
      <c r="K13" s="507">
        <f>NWC!K12</f>
        <v>758519.26537309831</v>
      </c>
      <c r="L13" s="507">
        <f>NWC!L12</f>
        <v>797985.07978198444</v>
      </c>
      <c r="M13" s="507">
        <f>NWC!M12</f>
        <v>837872.24308805668</v>
      </c>
      <c r="N13" s="507">
        <f>NWC!N12</f>
        <v>876375.99044217949</v>
      </c>
    </row>
    <row r="14" spans="2:14">
      <c r="B14" s="517" t="s">
        <v>29</v>
      </c>
      <c r="C14" s="518"/>
      <c r="D14" s="554">
        <v>122282</v>
      </c>
      <c r="E14" s="554">
        <v>173432</v>
      </c>
      <c r="F14" s="554">
        <v>206293</v>
      </c>
      <c r="G14" s="554">
        <v>197232</v>
      </c>
      <c r="H14" s="555">
        <v>200188</v>
      </c>
      <c r="I14" s="873">
        <f t="shared" si="0"/>
        <v>200188</v>
      </c>
      <c r="J14" s="519">
        <f>NWC!J13</f>
        <v>195643.85484000004</v>
      </c>
      <c r="K14" s="519">
        <f>NWC!K13</f>
        <v>208165.06154976005</v>
      </c>
      <c r="L14" s="519">
        <f>NWC!L13</f>
        <v>220654.96524274567</v>
      </c>
      <c r="M14" s="519">
        <f>NWC!M13</f>
        <v>233452.95322682493</v>
      </c>
      <c r="N14" s="519">
        <f>NWC!N13</f>
        <v>246059.41270107348</v>
      </c>
    </row>
    <row r="15" spans="2:14">
      <c r="B15" s="512" t="s">
        <v>30</v>
      </c>
      <c r="C15" s="521"/>
      <c r="D15" s="522">
        <f>SUM(D10:D14)</f>
        <v>1053396</v>
      </c>
      <c r="E15" s="522">
        <f>SUM(E10:E14)</f>
        <v>1223322</v>
      </c>
      <c r="F15" s="522">
        <f>SUM(F10:F14)</f>
        <v>1285747</v>
      </c>
      <c r="G15" s="522">
        <f>SUM(G10:G14)</f>
        <v>1237719</v>
      </c>
      <c r="H15" s="523">
        <f>SUM(H10:H14)</f>
        <v>1282503</v>
      </c>
      <c r="I15" s="523">
        <f t="shared" ref="I15" si="2">SUM(I10:I14)</f>
        <v>1282503</v>
      </c>
      <c r="J15" s="522">
        <f t="shared" ref="J15" si="3">SUM(J10:J14)</f>
        <v>1537441.0756446607</v>
      </c>
      <c r="K15" s="522">
        <f t="shared" ref="K15" si="4">SUM(K10:K14)</f>
        <v>1980388.6745576328</v>
      </c>
      <c r="L15" s="522">
        <f t="shared" ref="L15" si="5">SUM(L10:L14)</f>
        <v>2428984.3642434725</v>
      </c>
      <c r="M15" s="522">
        <f t="shared" ref="M15" si="6">SUM(M10:M14)</f>
        <v>2893957.6134323496</v>
      </c>
      <c r="N15" s="522">
        <f t="shared" ref="N15" si="7">SUM(N10:N14)</f>
        <v>3355133.1233116402</v>
      </c>
    </row>
    <row r="16" spans="2:14">
      <c r="B16" s="524"/>
      <c r="C16" s="510"/>
      <c r="D16" s="508"/>
      <c r="E16" s="507"/>
      <c r="F16" s="508"/>
      <c r="G16" s="507"/>
      <c r="H16" s="514"/>
      <c r="I16" s="515"/>
      <c r="J16" s="510"/>
      <c r="K16" s="510"/>
      <c r="L16" s="510"/>
      <c r="M16" s="510"/>
      <c r="N16" s="510"/>
    </row>
    <row r="17" spans="2:14">
      <c r="B17" s="512" t="s">
        <v>48</v>
      </c>
      <c r="C17" s="510"/>
      <c r="D17" s="508"/>
      <c r="E17" s="507"/>
      <c r="F17" s="508"/>
      <c r="G17" s="507"/>
      <c r="H17" s="514"/>
      <c r="I17" s="515"/>
      <c r="J17" s="510"/>
      <c r="K17" s="510"/>
      <c r="L17" s="510"/>
      <c r="M17" s="510"/>
      <c r="N17" s="510"/>
    </row>
    <row r="18" spans="2:14">
      <c r="B18" s="516" t="s">
        <v>31</v>
      </c>
      <c r="C18" s="510"/>
      <c r="D18" s="552">
        <v>890032</v>
      </c>
      <c r="E18" s="552">
        <v>967422</v>
      </c>
      <c r="F18" s="552">
        <v>1145085</v>
      </c>
      <c r="G18" s="552">
        <v>1187735</v>
      </c>
      <c r="H18" s="553">
        <v>1286541</v>
      </c>
      <c r="I18" s="515">
        <f>H18</f>
        <v>1286541</v>
      </c>
      <c r="J18" s="507">
        <f>I18-CF!L26</f>
        <v>1566032.2212</v>
      </c>
      <c r="K18" s="507">
        <f>J18-CF!M26</f>
        <v>1878279.8135246402</v>
      </c>
      <c r="L18" s="507">
        <f>K18-CF!N26</f>
        <v>2225023.330334669</v>
      </c>
      <c r="M18" s="507">
        <f>L18-CF!O26</f>
        <v>2608553.1820644527</v>
      </c>
      <c r="N18" s="507">
        <f>M18-CF!P26</f>
        <v>3012793.6457876447</v>
      </c>
    </row>
    <row r="19" spans="2:14">
      <c r="B19" s="516" t="s">
        <v>32</v>
      </c>
      <c r="C19" s="510"/>
      <c r="D19" s="552">
        <v>1170531</v>
      </c>
      <c r="E19" s="552">
        <v>114762</v>
      </c>
      <c r="F19" s="552">
        <v>1000255</v>
      </c>
      <c r="G19" s="552">
        <v>959436</v>
      </c>
      <c r="H19" s="553">
        <v>920396</v>
      </c>
      <c r="I19" s="515">
        <f t="shared" ref="I19:I21" si="8">H19</f>
        <v>920396</v>
      </c>
      <c r="J19" s="507">
        <f>I19</f>
        <v>920396</v>
      </c>
      <c r="K19" s="507">
        <f t="shared" ref="K19:N19" si="9">J19</f>
        <v>920396</v>
      </c>
      <c r="L19" s="507">
        <f t="shared" si="9"/>
        <v>920396</v>
      </c>
      <c r="M19" s="507">
        <f t="shared" si="9"/>
        <v>920396</v>
      </c>
      <c r="N19" s="507">
        <f t="shared" si="9"/>
        <v>920396</v>
      </c>
    </row>
    <row r="20" spans="2:14">
      <c r="B20" s="516" t="s">
        <v>27</v>
      </c>
      <c r="C20" s="510"/>
      <c r="D20" s="552">
        <v>97096</v>
      </c>
      <c r="E20" s="552">
        <v>123662</v>
      </c>
      <c r="F20" s="552">
        <v>223557</v>
      </c>
      <c r="G20" s="552">
        <v>102844</v>
      </c>
      <c r="H20" s="553">
        <v>314152</v>
      </c>
      <c r="I20" s="515">
        <f t="shared" si="8"/>
        <v>314152</v>
      </c>
      <c r="J20" s="507">
        <f>I20</f>
        <v>314152</v>
      </c>
      <c r="K20" s="507">
        <f t="shared" ref="K20:N20" si="10">J20</f>
        <v>314152</v>
      </c>
      <c r="L20" s="507">
        <f t="shared" si="10"/>
        <v>314152</v>
      </c>
      <c r="M20" s="507">
        <f t="shared" si="10"/>
        <v>314152</v>
      </c>
      <c r="N20" s="507">
        <f t="shared" si="10"/>
        <v>314152</v>
      </c>
    </row>
    <row r="21" spans="2:14">
      <c r="B21" s="517" t="s">
        <v>33</v>
      </c>
      <c r="C21" s="518"/>
      <c r="D21" s="554">
        <v>104578</v>
      </c>
      <c r="E21" s="554">
        <v>117167</v>
      </c>
      <c r="F21" s="554">
        <v>136703</v>
      </c>
      <c r="G21" s="554">
        <v>195178</v>
      </c>
      <c r="H21" s="555">
        <v>307617</v>
      </c>
      <c r="I21" s="873">
        <f t="shared" si="8"/>
        <v>307617</v>
      </c>
      <c r="J21" s="519">
        <f>I21</f>
        <v>307617</v>
      </c>
      <c r="K21" s="519">
        <f t="shared" ref="K21:N21" si="11">J21</f>
        <v>307617</v>
      </c>
      <c r="L21" s="519">
        <f t="shared" si="11"/>
        <v>307617</v>
      </c>
      <c r="M21" s="519">
        <f t="shared" si="11"/>
        <v>307617</v>
      </c>
      <c r="N21" s="519">
        <f t="shared" si="11"/>
        <v>307617</v>
      </c>
    </row>
    <row r="22" spans="2:14">
      <c r="B22" s="512" t="s">
        <v>47</v>
      </c>
      <c r="C22" s="521"/>
      <c r="D22" s="522">
        <f>SUM(D18:D21)</f>
        <v>2262237</v>
      </c>
      <c r="E22" s="522">
        <f>SUM(E18:E21)</f>
        <v>1323013</v>
      </c>
      <c r="F22" s="522">
        <f>SUM(F18:F21)</f>
        <v>2505600</v>
      </c>
      <c r="G22" s="522">
        <f>SUM(G18:G21)</f>
        <v>2445193</v>
      </c>
      <c r="H22" s="523">
        <f>SUM(H18:H21)</f>
        <v>2828706</v>
      </c>
      <c r="I22" s="523">
        <f t="shared" ref="I22" si="12">SUM(I18:I21)</f>
        <v>2828706</v>
      </c>
      <c r="J22" s="522">
        <f t="shared" ref="J22" si="13">SUM(J18:J21)</f>
        <v>3108197.2212</v>
      </c>
      <c r="K22" s="522">
        <f t="shared" ref="K22" si="14">SUM(K18:K21)</f>
        <v>3420444.8135246402</v>
      </c>
      <c r="L22" s="522">
        <f t="shared" ref="L22" si="15">SUM(L18:L21)</f>
        <v>3767188.330334669</v>
      </c>
      <c r="M22" s="522">
        <f t="shared" ref="M22" si="16">SUM(M18:M21)</f>
        <v>4150718.1820644527</v>
      </c>
      <c r="N22" s="522">
        <f t="shared" ref="N22" si="17">SUM(N18:N21)</f>
        <v>4554958.6457876451</v>
      </c>
    </row>
    <row r="23" spans="2:14" ht="17" thickBot="1">
      <c r="B23" s="525"/>
      <c r="C23" s="526"/>
      <c r="D23" s="527"/>
      <c r="E23" s="528"/>
      <c r="F23" s="527"/>
      <c r="G23" s="528"/>
      <c r="H23" s="529"/>
      <c r="I23" s="530"/>
      <c r="J23" s="526"/>
      <c r="K23" s="526"/>
      <c r="L23" s="526"/>
      <c r="M23" s="526"/>
      <c r="N23" s="526"/>
    </row>
    <row r="24" spans="2:14" ht="17" thickTop="1">
      <c r="B24" s="422" t="s">
        <v>34</v>
      </c>
      <c r="C24" s="521"/>
      <c r="D24" s="522">
        <f>D22+D15</f>
        <v>3315633</v>
      </c>
      <c r="E24" s="522">
        <f>E22+E15</f>
        <v>2546335</v>
      </c>
      <c r="F24" s="522">
        <f>F22+F15</f>
        <v>3791347</v>
      </c>
      <c r="G24" s="522">
        <f>G22+G15</f>
        <v>3682912</v>
      </c>
      <c r="H24" s="523">
        <f>H22+H15</f>
        <v>4111209</v>
      </c>
      <c r="I24" s="523">
        <f t="shared" ref="I24:N24" si="18">I22+I15</f>
        <v>4111209</v>
      </c>
      <c r="J24" s="522">
        <f t="shared" si="18"/>
        <v>4645638.2968446612</v>
      </c>
      <c r="K24" s="522">
        <f t="shared" si="18"/>
        <v>5400833.4880822729</v>
      </c>
      <c r="L24" s="522">
        <f t="shared" si="18"/>
        <v>6196172.694578141</v>
      </c>
      <c r="M24" s="522">
        <f t="shared" si="18"/>
        <v>7044675.7954968028</v>
      </c>
      <c r="N24" s="522">
        <f t="shared" si="18"/>
        <v>7910091.7690992858</v>
      </c>
    </row>
    <row r="25" spans="2:14">
      <c r="B25" s="422"/>
      <c r="C25" s="510"/>
      <c r="D25" s="508"/>
      <c r="E25" s="531"/>
      <c r="F25" s="508"/>
      <c r="G25" s="531"/>
      <c r="H25" s="532"/>
      <c r="I25" s="515"/>
      <c r="J25" s="510"/>
      <c r="K25" s="510"/>
      <c r="L25" s="510"/>
      <c r="M25" s="510"/>
      <c r="N25" s="510"/>
    </row>
    <row r="26" spans="2:14">
      <c r="B26" s="422"/>
      <c r="C26" s="510"/>
      <c r="D26" s="508"/>
      <c r="E26" s="531"/>
      <c r="F26" s="508"/>
      <c r="G26" s="531"/>
      <c r="H26" s="532"/>
      <c r="I26" s="515"/>
      <c r="J26" s="510"/>
      <c r="K26" s="510"/>
      <c r="L26" s="510"/>
      <c r="M26" s="510"/>
      <c r="N26" s="510"/>
    </row>
    <row r="27" spans="2:14">
      <c r="B27" s="422" t="s">
        <v>54</v>
      </c>
      <c r="C27" s="510"/>
      <c r="D27" s="508"/>
      <c r="E27" s="507"/>
      <c r="F27" s="508"/>
      <c r="G27" s="507"/>
      <c r="H27" s="514"/>
      <c r="I27" s="515"/>
      <c r="J27" s="510"/>
      <c r="K27" s="510"/>
      <c r="L27" s="510"/>
      <c r="M27" s="510"/>
      <c r="N27" s="510"/>
    </row>
    <row r="28" spans="2:14">
      <c r="B28" s="512" t="s">
        <v>61</v>
      </c>
      <c r="C28" s="510"/>
      <c r="D28" s="508"/>
      <c r="E28" s="507"/>
      <c r="F28" s="508"/>
      <c r="G28" s="507"/>
      <c r="H28" s="514"/>
      <c r="I28" s="515"/>
      <c r="J28" s="510"/>
      <c r="K28" s="510"/>
      <c r="L28" s="510"/>
      <c r="M28" s="510"/>
      <c r="N28" s="510"/>
    </row>
    <row r="29" spans="2:14">
      <c r="B29" s="533" t="s">
        <v>60</v>
      </c>
      <c r="C29" s="510"/>
      <c r="D29" s="552">
        <v>167871</v>
      </c>
      <c r="E29" s="552">
        <v>237386</v>
      </c>
      <c r="F29" s="552">
        <v>304246</v>
      </c>
      <c r="G29" s="552">
        <v>257620</v>
      </c>
      <c r="H29" s="553">
        <v>253342</v>
      </c>
      <c r="I29" s="515">
        <f>H29</f>
        <v>253342</v>
      </c>
      <c r="J29" s="507">
        <f>NWC!J17</f>
        <v>260347.98687123292</v>
      </c>
      <c r="K29" s="507">
        <f>NWC!K17</f>
        <v>277010.25803099183</v>
      </c>
      <c r="L29" s="507">
        <f>NWC!L17</f>
        <v>293630.87351285137</v>
      </c>
      <c r="M29" s="507">
        <f>NWC!M17</f>
        <v>310661.46417659678</v>
      </c>
      <c r="N29" s="507">
        <f>NWC!N17</f>
        <v>327437.183242133</v>
      </c>
    </row>
    <row r="30" spans="2:14">
      <c r="B30" s="516" t="s">
        <v>35</v>
      </c>
      <c r="C30" s="510"/>
      <c r="D30" s="552">
        <v>221593</v>
      </c>
      <c r="E30" s="552">
        <v>254703</v>
      </c>
      <c r="F30" s="552">
        <v>236315</v>
      </c>
      <c r="G30" s="552">
        <v>232672</v>
      </c>
      <c r="H30" s="553">
        <v>226645</v>
      </c>
      <c r="I30" s="515">
        <f t="shared" ref="I30:I32" si="19">H30</f>
        <v>226645</v>
      </c>
      <c r="J30" s="507">
        <f>NWC!J19</f>
        <v>162023.89634782611</v>
      </c>
      <c r="K30" s="507">
        <f>NWC!K19</f>
        <v>172393.42571408697</v>
      </c>
      <c r="L30" s="507">
        <f>NWC!L19</f>
        <v>182737.03125693224</v>
      </c>
      <c r="M30" s="507">
        <f>NWC!M19</f>
        <v>193335.7790698343</v>
      </c>
      <c r="N30" s="507">
        <f>NWC!N19</f>
        <v>203775.91113960536</v>
      </c>
    </row>
    <row r="31" spans="2:14">
      <c r="B31" s="516" t="s">
        <v>36</v>
      </c>
      <c r="C31" s="510"/>
      <c r="D31" s="552">
        <v>44041</v>
      </c>
      <c r="E31" s="552">
        <v>54796</v>
      </c>
      <c r="F31" s="552">
        <v>89914</v>
      </c>
      <c r="G31" s="552">
        <v>77505</v>
      </c>
      <c r="H31" s="553">
        <v>122708</v>
      </c>
      <c r="I31" s="515">
        <f t="shared" si="19"/>
        <v>122708</v>
      </c>
      <c r="J31" s="510">
        <v>0</v>
      </c>
      <c r="K31" s="510">
        <v>0</v>
      </c>
      <c r="L31" s="510">
        <v>0</v>
      </c>
      <c r="M31" s="510">
        <v>0</v>
      </c>
      <c r="N31" s="510">
        <v>0</v>
      </c>
    </row>
    <row r="32" spans="2:14">
      <c r="B32" s="517" t="s">
        <v>37</v>
      </c>
      <c r="C32" s="518"/>
      <c r="D32" s="554">
        <v>205265</v>
      </c>
      <c r="E32" s="554">
        <v>359247</v>
      </c>
      <c r="F32" s="554">
        <v>350998</v>
      </c>
      <c r="G32" s="554">
        <v>322577</v>
      </c>
      <c r="H32" s="555">
        <v>391510</v>
      </c>
      <c r="I32" s="873">
        <f>H32</f>
        <v>391510</v>
      </c>
      <c r="J32" s="519">
        <f>NWC!J18</f>
        <v>445565.71495652176</v>
      </c>
      <c r="K32" s="519">
        <f>NWC!K18</f>
        <v>474081.92071373918</v>
      </c>
      <c r="L32" s="519">
        <f>NWC!L18</f>
        <v>502526.83595656359</v>
      </c>
      <c r="M32" s="519">
        <f>NWC!M18</f>
        <v>531673.39244204422</v>
      </c>
      <c r="N32" s="519">
        <f>NWC!N18</f>
        <v>560383.75563391461</v>
      </c>
    </row>
    <row r="33" spans="2:14">
      <c r="B33" s="512" t="s">
        <v>38</v>
      </c>
      <c r="C33" s="510"/>
      <c r="D33" s="522">
        <f>SUM(D29:D32)</f>
        <v>638770</v>
      </c>
      <c r="E33" s="522">
        <f>SUM(E29:E32)</f>
        <v>906132</v>
      </c>
      <c r="F33" s="522">
        <f>SUM(F29:F32)</f>
        <v>981473</v>
      </c>
      <c r="G33" s="522">
        <f>SUM(G29:G32)</f>
        <v>890374</v>
      </c>
      <c r="H33" s="523">
        <f>SUM(H29:H32)</f>
        <v>994205</v>
      </c>
      <c r="I33" s="523">
        <f t="shared" ref="I33" si="20">SUM(I29:I32)</f>
        <v>994205</v>
      </c>
      <c r="J33" s="522">
        <f t="shared" ref="J33" si="21">SUM(J29:J32)</f>
        <v>867937.59817558085</v>
      </c>
      <c r="K33" s="522">
        <f t="shared" ref="K33" si="22">SUM(K29:K32)</f>
        <v>923485.60445881798</v>
      </c>
      <c r="L33" s="522">
        <f t="shared" ref="L33" si="23">SUM(L29:L32)</f>
        <v>978894.7407263472</v>
      </c>
      <c r="M33" s="522">
        <f t="shared" ref="M33" si="24">SUM(M29:M32)</f>
        <v>1035670.6356884753</v>
      </c>
      <c r="N33" s="522">
        <f t="shared" ref="N33" si="25">SUM(N29:N32)</f>
        <v>1091596.8500156528</v>
      </c>
    </row>
    <row r="34" spans="2:14">
      <c r="B34" s="512"/>
      <c r="C34" s="510"/>
      <c r="D34" s="508"/>
      <c r="E34" s="507"/>
      <c r="F34" s="508"/>
      <c r="G34" s="507"/>
      <c r="H34" s="514"/>
      <c r="I34" s="515"/>
      <c r="J34" s="510"/>
      <c r="K34" s="510"/>
      <c r="L34" s="510"/>
      <c r="M34" s="510"/>
      <c r="N34" s="510"/>
    </row>
    <row r="35" spans="2:14">
      <c r="B35" s="516" t="s">
        <v>39</v>
      </c>
      <c r="C35" s="510"/>
      <c r="D35" s="552">
        <v>1137495</v>
      </c>
      <c r="E35" s="552">
        <v>1074009</v>
      </c>
      <c r="F35" s="552">
        <v>951080</v>
      </c>
      <c r="G35" s="552">
        <v>884696</v>
      </c>
      <c r="H35" s="553">
        <v>851853</v>
      </c>
      <c r="I35" s="515">
        <f>H35</f>
        <v>851853</v>
      </c>
      <c r="J35" s="507">
        <f>H35</f>
        <v>851853</v>
      </c>
      <c r="K35" s="507">
        <f>J35</f>
        <v>851853</v>
      </c>
      <c r="L35" s="507">
        <f t="shared" ref="L35:M35" si="26">K35</f>
        <v>851853</v>
      </c>
      <c r="M35" s="507">
        <f t="shared" si="26"/>
        <v>851853</v>
      </c>
      <c r="N35" s="507">
        <f t="shared" ref="N35:N36" si="27">J35</f>
        <v>851853</v>
      </c>
    </row>
    <row r="36" spans="2:14">
      <c r="B36" s="517" t="s">
        <v>40</v>
      </c>
      <c r="C36" s="518"/>
      <c r="D36" s="554">
        <v>84013</v>
      </c>
      <c r="E36" s="554">
        <v>88846</v>
      </c>
      <c r="F36" s="554">
        <v>113054</v>
      </c>
      <c r="G36" s="554">
        <v>115159</v>
      </c>
      <c r="H36" s="555">
        <v>152611</v>
      </c>
      <c r="I36" s="515">
        <f>H36</f>
        <v>152611</v>
      </c>
      <c r="J36" s="519">
        <f>H36</f>
        <v>152611</v>
      </c>
      <c r="K36" s="519">
        <f>J36</f>
        <v>152611</v>
      </c>
      <c r="L36" s="519">
        <f>K36</f>
        <v>152611</v>
      </c>
      <c r="M36" s="519">
        <f>I36</f>
        <v>152611</v>
      </c>
      <c r="N36" s="519">
        <f t="shared" si="27"/>
        <v>152611</v>
      </c>
    </row>
    <row r="37" spans="2:14" s="3" customFormat="1">
      <c r="B37" s="512" t="s">
        <v>58</v>
      </c>
      <c r="C37" s="534"/>
      <c r="D37" s="522">
        <f>SUM(D35:D36)</f>
        <v>1221508</v>
      </c>
      <c r="E37" s="522">
        <f>SUM(E35:E36)</f>
        <v>1162855</v>
      </c>
      <c r="F37" s="522">
        <f>SUM(F35:F36)</f>
        <v>1064134</v>
      </c>
      <c r="G37" s="522">
        <f>SUM(G35:G36)</f>
        <v>999855</v>
      </c>
      <c r="H37" s="523">
        <f>SUM(H35:H36)</f>
        <v>1004464</v>
      </c>
      <c r="I37" s="535">
        <f t="shared" ref="I37" si="28">SUM(I35:I36)</f>
        <v>1004464</v>
      </c>
      <c r="J37" s="522">
        <f>SUM(J35:J36)</f>
        <v>1004464</v>
      </c>
      <c r="K37" s="522">
        <f t="shared" ref="K37:N37" si="29">SUM(K35:K36)</f>
        <v>1004464</v>
      </c>
      <c r="L37" s="522">
        <f t="shared" si="29"/>
        <v>1004464</v>
      </c>
      <c r="M37" s="522">
        <f t="shared" si="29"/>
        <v>1004464</v>
      </c>
      <c r="N37" s="522">
        <f t="shared" si="29"/>
        <v>1004464</v>
      </c>
    </row>
    <row r="38" spans="2:14" s="3" customFormat="1" ht="17" thickBot="1">
      <c r="B38" s="536"/>
      <c r="C38" s="537"/>
      <c r="D38" s="538"/>
      <c r="E38" s="538"/>
      <c r="F38" s="538"/>
      <c r="G38" s="538"/>
      <c r="H38" s="539"/>
      <c r="I38" s="540"/>
      <c r="J38" s="537"/>
      <c r="K38" s="537"/>
      <c r="L38" s="537"/>
      <c r="M38" s="537"/>
      <c r="N38" s="537"/>
    </row>
    <row r="39" spans="2:14" s="3" customFormat="1" ht="17" thickTop="1">
      <c r="B39" s="541" t="s">
        <v>59</v>
      </c>
      <c r="C39" s="534"/>
      <c r="D39" s="522">
        <f>D37+D33</f>
        <v>1860278</v>
      </c>
      <c r="E39" s="522">
        <f>E37+E33</f>
        <v>2068987</v>
      </c>
      <c r="F39" s="522">
        <f>F37+F33</f>
        <v>2045607</v>
      </c>
      <c r="G39" s="522">
        <f>G37+G33</f>
        <v>1890229</v>
      </c>
      <c r="H39" s="523">
        <f>H37+H33</f>
        <v>1998669</v>
      </c>
      <c r="I39" s="523">
        <f t="shared" ref="I39" si="30">I37+I33</f>
        <v>1998669</v>
      </c>
      <c r="J39" s="522">
        <f t="shared" ref="J39:N39" si="31">J37+J33</f>
        <v>1872401.5981755808</v>
      </c>
      <c r="K39" s="522">
        <f t="shared" si="31"/>
        <v>1927949.604458818</v>
      </c>
      <c r="L39" s="522">
        <f t="shared" si="31"/>
        <v>1983358.7407263471</v>
      </c>
      <c r="M39" s="522">
        <f t="shared" si="31"/>
        <v>2040134.6356884753</v>
      </c>
      <c r="N39" s="522">
        <f t="shared" si="31"/>
        <v>2096060.8500156528</v>
      </c>
    </row>
    <row r="40" spans="2:14" s="3" customFormat="1">
      <c r="B40" s="512"/>
      <c r="C40" s="534"/>
      <c r="D40" s="522"/>
      <c r="E40" s="531"/>
      <c r="F40" s="522"/>
      <c r="G40" s="531"/>
      <c r="H40" s="532"/>
      <c r="I40" s="542"/>
      <c r="J40" s="534"/>
      <c r="K40" s="534"/>
      <c r="L40" s="534"/>
      <c r="M40" s="534"/>
      <c r="N40" s="534"/>
    </row>
    <row r="41" spans="2:14" s="3" customFormat="1">
      <c r="B41" s="541" t="s">
        <v>55</v>
      </c>
      <c r="C41" s="534"/>
      <c r="D41" s="522"/>
      <c r="E41" s="531"/>
      <c r="F41" s="522"/>
      <c r="G41" s="531"/>
      <c r="H41" s="532"/>
      <c r="I41" s="542"/>
      <c r="J41" s="534"/>
      <c r="K41" s="534"/>
      <c r="L41" s="534"/>
      <c r="M41" s="534"/>
      <c r="N41" s="534"/>
    </row>
    <row r="42" spans="2:14" s="3" customFormat="1" ht="19">
      <c r="B42" s="533" t="s">
        <v>62</v>
      </c>
      <c r="C42" s="534"/>
      <c r="D42" s="552">
        <v>0</v>
      </c>
      <c r="E42" s="552">
        <v>0</v>
      </c>
      <c r="F42" s="552">
        <v>0</v>
      </c>
      <c r="G42" s="552">
        <v>0</v>
      </c>
      <c r="H42" s="553">
        <v>0</v>
      </c>
      <c r="I42" s="514">
        <f>H42</f>
        <v>0</v>
      </c>
      <c r="J42" s="507">
        <f>I42</f>
        <v>0</v>
      </c>
      <c r="K42" s="507">
        <f t="shared" ref="K42:N42" si="32">J42</f>
        <v>0</v>
      </c>
      <c r="L42" s="507">
        <f t="shared" si="32"/>
        <v>0</v>
      </c>
      <c r="M42" s="507">
        <f t="shared" si="32"/>
        <v>0</v>
      </c>
      <c r="N42" s="507">
        <f t="shared" si="32"/>
        <v>0</v>
      </c>
    </row>
    <row r="43" spans="2:14" ht="19">
      <c r="B43" s="516" t="s">
        <v>63</v>
      </c>
      <c r="C43" s="510"/>
      <c r="D43" s="552">
        <v>10</v>
      </c>
      <c r="E43" s="552">
        <v>10</v>
      </c>
      <c r="F43" s="552">
        <v>10</v>
      </c>
      <c r="G43" s="552" t="s">
        <v>3622</v>
      </c>
      <c r="H43" s="553">
        <v>9</v>
      </c>
      <c r="I43" s="514">
        <f t="shared" ref="I43:I46" si="33">H43</f>
        <v>9</v>
      </c>
      <c r="J43" s="507">
        <f>I43</f>
        <v>9</v>
      </c>
      <c r="K43" s="507">
        <f t="shared" ref="K43:N43" si="34">J43</f>
        <v>9</v>
      </c>
      <c r="L43" s="507">
        <f t="shared" si="34"/>
        <v>9</v>
      </c>
      <c r="M43" s="507">
        <f t="shared" si="34"/>
        <v>9</v>
      </c>
      <c r="N43" s="507">
        <f t="shared" si="34"/>
        <v>9</v>
      </c>
    </row>
    <row r="44" spans="2:14">
      <c r="B44" s="516" t="s">
        <v>41</v>
      </c>
      <c r="C44" s="510"/>
      <c r="D44" s="552">
        <v>9477</v>
      </c>
      <c r="E44" s="552">
        <v>19369</v>
      </c>
      <c r="F44" s="552">
        <v>0</v>
      </c>
      <c r="G44" s="552">
        <v>15248</v>
      </c>
      <c r="H44" s="553">
        <v>37943</v>
      </c>
      <c r="I44" s="514">
        <f t="shared" si="33"/>
        <v>37943</v>
      </c>
      <c r="J44" s="507">
        <f>I44</f>
        <v>37943</v>
      </c>
      <c r="K44" s="507">
        <f t="shared" ref="K44:N44" si="35">J44</f>
        <v>37943</v>
      </c>
      <c r="L44" s="507">
        <f t="shared" si="35"/>
        <v>37943</v>
      </c>
      <c r="M44" s="507">
        <f t="shared" si="35"/>
        <v>37943</v>
      </c>
      <c r="N44" s="507">
        <f t="shared" si="35"/>
        <v>37943</v>
      </c>
    </row>
    <row r="45" spans="2:14">
      <c r="B45" s="516" t="s">
        <v>42</v>
      </c>
      <c r="C45" s="510"/>
      <c r="D45" s="552">
        <v>1473872</v>
      </c>
      <c r="E45" s="552">
        <v>1475108</v>
      </c>
      <c r="F45" s="552">
        <v>1770560</v>
      </c>
      <c r="G45" s="552">
        <v>1826061</v>
      </c>
      <c r="H45" s="553">
        <v>2113735</v>
      </c>
      <c r="I45" s="514">
        <f t="shared" si="33"/>
        <v>2113735</v>
      </c>
      <c r="J45" s="788">
        <v>0</v>
      </c>
      <c r="K45" s="788">
        <v>0</v>
      </c>
      <c r="L45" s="788">
        <v>0</v>
      </c>
      <c r="M45" s="788">
        <v>0</v>
      </c>
      <c r="N45" s="788">
        <v>0</v>
      </c>
    </row>
    <row r="46" spans="2:14" ht="17" thickBot="1">
      <c r="B46" s="525" t="s">
        <v>43</v>
      </c>
      <c r="C46" s="526"/>
      <c r="D46" s="549">
        <v>-28004</v>
      </c>
      <c r="E46" s="550">
        <v>-17120</v>
      </c>
      <c r="F46" s="549">
        <v>-24830</v>
      </c>
      <c r="G46" s="550">
        <v>-48635</v>
      </c>
      <c r="H46" s="551">
        <v>-39147</v>
      </c>
      <c r="I46" s="514">
        <f t="shared" si="33"/>
        <v>-39147</v>
      </c>
      <c r="J46" s="789">
        <v>0</v>
      </c>
      <c r="K46" s="789">
        <v>0</v>
      </c>
      <c r="L46" s="789">
        <v>0</v>
      </c>
      <c r="M46" s="789">
        <v>0</v>
      </c>
      <c r="N46" s="789">
        <v>0</v>
      </c>
    </row>
    <row r="47" spans="2:14" ht="17" thickTop="1">
      <c r="B47" s="541" t="s">
        <v>44</v>
      </c>
      <c r="C47" s="521"/>
      <c r="D47" s="522">
        <f>SUM(D42:D46)</f>
        <v>1455355</v>
      </c>
      <c r="E47" s="522">
        <f>SUM(E42:E46)</f>
        <v>1477367</v>
      </c>
      <c r="F47" s="522">
        <f>SUM(F42:F46)</f>
        <v>1745740</v>
      </c>
      <c r="G47" s="522">
        <f>SUM(G42:G46)</f>
        <v>1792674</v>
      </c>
      <c r="H47" s="523">
        <f>SUM(H42:H46)</f>
        <v>2112540</v>
      </c>
      <c r="I47" s="543">
        <f>I24-I39</f>
        <v>2112540</v>
      </c>
      <c r="J47" s="522">
        <f>J24-J39</f>
        <v>2773236.6986690806</v>
      </c>
      <c r="K47" s="522">
        <f t="shared" ref="K47:N47" si="36">K24-K39</f>
        <v>3472883.8836234547</v>
      </c>
      <c r="L47" s="522">
        <f t="shared" si="36"/>
        <v>4212813.9538517939</v>
      </c>
      <c r="M47" s="522">
        <f t="shared" si="36"/>
        <v>5004541.1598083274</v>
      </c>
      <c r="N47" s="522">
        <f t="shared" si="36"/>
        <v>5814030.9190836325</v>
      </c>
    </row>
    <row r="48" spans="2:14" s="4" customFormat="1" ht="17" thickBot="1">
      <c r="B48" s="544"/>
      <c r="C48" s="545"/>
      <c r="D48" s="538"/>
      <c r="E48" s="528"/>
      <c r="F48" s="538"/>
      <c r="G48" s="528"/>
      <c r="H48" s="529"/>
      <c r="I48" s="546"/>
      <c r="J48" s="545"/>
      <c r="K48" s="545"/>
      <c r="L48" s="545"/>
      <c r="M48" s="545"/>
      <c r="N48" s="545"/>
    </row>
    <row r="49" spans="2:16" ht="17" thickTop="1">
      <c r="B49" s="422" t="s">
        <v>45</v>
      </c>
      <c r="C49" s="521"/>
      <c r="D49" s="522">
        <f>D47+D39</f>
        <v>3315633</v>
      </c>
      <c r="E49" s="522">
        <f t="shared" ref="E49:H49" si="37">E47+E39</f>
        <v>3546354</v>
      </c>
      <c r="F49" s="522">
        <f t="shared" si="37"/>
        <v>3791347</v>
      </c>
      <c r="G49" s="522">
        <f t="shared" si="37"/>
        <v>3682903</v>
      </c>
      <c r="H49" s="543">
        <f t="shared" si="37"/>
        <v>4111209</v>
      </c>
      <c r="I49" s="543">
        <f>I47+I39</f>
        <v>4111209</v>
      </c>
      <c r="J49" s="522">
        <f t="shared" ref="J49:N49" si="38">J47+J39</f>
        <v>4645638.2968446612</v>
      </c>
      <c r="K49" s="522">
        <f t="shared" si="38"/>
        <v>5400833.4880822729</v>
      </c>
      <c r="L49" s="522">
        <f t="shared" si="38"/>
        <v>6196172.694578141</v>
      </c>
      <c r="M49" s="522">
        <f t="shared" si="38"/>
        <v>7044675.7954968028</v>
      </c>
      <c r="N49" s="522">
        <f t="shared" si="38"/>
        <v>7910091.7690992858</v>
      </c>
    </row>
    <row r="50" spans="2:16">
      <c r="B50" s="510"/>
      <c r="C50" s="510"/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</row>
    <row r="51" spans="2:16">
      <c r="B51" s="510" t="s">
        <v>66</v>
      </c>
      <c r="C51" s="510"/>
      <c r="D51" s="547">
        <f>D39/D47</f>
        <v>1.278229710276874</v>
      </c>
      <c r="E51" s="547">
        <f>E39/E47</f>
        <v>1.4004556755362749</v>
      </c>
      <c r="F51" s="547">
        <f>F39/F47</f>
        <v>1.1717707104150676</v>
      </c>
      <c r="G51" s="547">
        <f>G39/G47</f>
        <v>1.0544187063570956</v>
      </c>
      <c r="H51" s="547">
        <f>H39/H47</f>
        <v>0.94609758868471128</v>
      </c>
      <c r="I51" s="547">
        <f t="shared" ref="I51" si="39">I39/I47</f>
        <v>0.94609758868471128</v>
      </c>
      <c r="J51" s="547">
        <f t="shared" ref="J51:N51" si="40">J39/J47</f>
        <v>0.67516833275507115</v>
      </c>
      <c r="K51" s="547">
        <f t="shared" si="40"/>
        <v>0.55514369874275205</v>
      </c>
      <c r="L51" s="547">
        <f t="shared" si="40"/>
        <v>0.47079191306631368</v>
      </c>
      <c r="M51" s="547">
        <f t="shared" si="40"/>
        <v>0.40765668031124996</v>
      </c>
      <c r="N51" s="547">
        <f t="shared" si="40"/>
        <v>0.36051766479873132</v>
      </c>
    </row>
    <row r="52" spans="2:16">
      <c r="B52" s="510" t="s">
        <v>508</v>
      </c>
      <c r="C52" s="510"/>
      <c r="D52" s="547">
        <f>D15/D33</f>
        <v>1.6491006152449239</v>
      </c>
      <c r="E52" s="547">
        <f>E15/E33</f>
        <v>1.3500483373283363</v>
      </c>
      <c r="F52" s="547">
        <f>F15/F33</f>
        <v>1.3100176978887856</v>
      </c>
      <c r="G52" s="547">
        <f>G15/G33</f>
        <v>1.3901113464678887</v>
      </c>
      <c r="H52" s="547">
        <f>H15/H33</f>
        <v>1.2899784249727169</v>
      </c>
      <c r="I52" s="547">
        <f t="shared" ref="I52" si="41">I15/I33</f>
        <v>1.2899784249727169</v>
      </c>
      <c r="J52" s="547">
        <f t="shared" ref="J52:N52" si="42">J15/J33</f>
        <v>1.7713728255077177</v>
      </c>
      <c r="K52" s="547">
        <f t="shared" si="42"/>
        <v>2.144471624674845</v>
      </c>
      <c r="L52" s="547">
        <f t="shared" si="42"/>
        <v>2.4813539834131175</v>
      </c>
      <c r="M52" s="547">
        <f t="shared" si="42"/>
        <v>2.7942837362657813</v>
      </c>
      <c r="N52" s="547">
        <f t="shared" si="42"/>
        <v>3.073600957407975</v>
      </c>
    </row>
    <row r="53" spans="2:16"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</row>
    <row r="54" spans="2:16" ht="19">
      <c r="B54" s="548" t="s">
        <v>65</v>
      </c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</row>
    <row r="55" spans="2:16" ht="19">
      <c r="B55" s="548" t="s">
        <v>64</v>
      </c>
      <c r="C55" s="510"/>
      <c r="D55" s="510"/>
      <c r="E55" s="510"/>
      <c r="F55" s="510"/>
      <c r="G55" s="510"/>
      <c r="H55" s="510"/>
      <c r="I55" s="510"/>
      <c r="J55" s="510"/>
      <c r="K55" s="510"/>
      <c r="L55" s="510"/>
      <c r="M55" s="510"/>
      <c r="N55" s="510"/>
    </row>
    <row r="57" spans="2:16" hidden="1">
      <c r="B57" t="s">
        <v>492</v>
      </c>
    </row>
    <row r="58" spans="2:16" hidden="1">
      <c r="B58" t="s">
        <v>493</v>
      </c>
      <c r="D58" s="709">
        <f>D39-SUM(D10:D11)+D47</f>
        <v>2882341</v>
      </c>
      <c r="E58" s="709">
        <f t="shared" ref="E58:H58" si="43">E39-SUM(E10:E11)+E47</f>
        <v>2976034</v>
      </c>
      <c r="F58" s="709">
        <f t="shared" si="43"/>
        <v>3345352</v>
      </c>
      <c r="G58" s="709">
        <f t="shared" si="43"/>
        <v>3300265</v>
      </c>
      <c r="H58" s="709">
        <f t="shared" si="43"/>
        <v>3646144</v>
      </c>
      <c r="I58" s="709" t="e">
        <f>#REF!-SUM(#REF!)+#REF!</f>
        <v>#REF!</v>
      </c>
      <c r="J58" s="709" t="e">
        <f>#REF!-SUM(#REF!)+#REF!</f>
        <v>#REF!</v>
      </c>
      <c r="K58" s="709">
        <f>I39-SUM(I10:I11)+I47</f>
        <v>3646144</v>
      </c>
      <c r="L58" s="709">
        <f>J39-SUM(J10:J11)+J47</f>
        <v>4110919.835340823</v>
      </c>
      <c r="M58" s="709">
        <f>K39-SUM(K10:K11)+K47</f>
        <v>4481638.5225992482</v>
      </c>
      <c r="N58" s="709">
        <f>L39-SUM(L10:L11)+L47</f>
        <v>4886008.3204402542</v>
      </c>
      <c r="O58" s="709">
        <f>M39-SUM(M10:M11)+M47</f>
        <v>5328033.7602748796</v>
      </c>
      <c r="P58" s="709">
        <f>N39-SUM(N10:N11)+N47</f>
        <v>5789107.9114488028</v>
      </c>
    </row>
    <row r="98" spans="14:14">
      <c r="N98" s="27"/>
    </row>
    <row r="99" spans="14:14">
      <c r="N99" s="29"/>
    </row>
    <row r="100" spans="14:14">
      <c r="N100" s="29"/>
    </row>
    <row r="101" spans="14:14">
      <c r="N101" s="27"/>
    </row>
    <row r="102" spans="14:14">
      <c r="N102" s="29"/>
    </row>
    <row r="103" spans="14:14">
      <c r="N103" s="29"/>
    </row>
    <row r="104" spans="14:14">
      <c r="N104" s="28"/>
    </row>
    <row r="105" spans="14:14">
      <c r="N105" s="29"/>
    </row>
    <row r="106" spans="14:14">
      <c r="N106" s="29"/>
    </row>
    <row r="107" spans="14:14">
      <c r="N107" s="29"/>
    </row>
    <row r="108" spans="14:14">
      <c r="N108" s="29"/>
    </row>
    <row r="109" spans="14:14">
      <c r="N109" s="29"/>
    </row>
    <row r="110" spans="14:14">
      <c r="N110" s="27"/>
    </row>
    <row r="111" spans="14:14">
      <c r="N111" s="29"/>
    </row>
    <row r="112" spans="14:14">
      <c r="N112" s="28"/>
    </row>
    <row r="113" spans="14:14">
      <c r="N113" s="28"/>
    </row>
    <row r="114" spans="14:14">
      <c r="N114" s="29"/>
    </row>
    <row r="115" spans="14:14">
      <c r="N115" s="28"/>
    </row>
    <row r="116" spans="14:14">
      <c r="N116" s="29"/>
    </row>
    <row r="117" spans="14:14">
      <c r="N117" s="29"/>
    </row>
    <row r="118" spans="14:14">
      <c r="N118" s="27"/>
    </row>
    <row r="119" spans="14:14">
      <c r="N119" s="28"/>
    </row>
    <row r="120" spans="14:14">
      <c r="N120" s="28"/>
    </row>
    <row r="121" spans="14:14">
      <c r="N121" s="29"/>
    </row>
    <row r="122" spans="14:14">
      <c r="N122" s="29"/>
    </row>
    <row r="123" spans="14:14">
      <c r="N123" s="28"/>
    </row>
    <row r="124" spans="14:14">
      <c r="N124" s="28"/>
    </row>
    <row r="125" spans="14:14">
      <c r="N125" s="27"/>
    </row>
    <row r="126" spans="14:14">
      <c r="N126" s="29"/>
    </row>
    <row r="127" spans="14:14">
      <c r="N127" s="28"/>
    </row>
    <row r="128" spans="14:14">
      <c r="N128" s="28"/>
    </row>
    <row r="129" spans="14:14">
      <c r="N129" s="29"/>
    </row>
    <row r="130" spans="14:14">
      <c r="N130" s="28"/>
    </row>
    <row r="131" spans="14:14">
      <c r="N131" s="28"/>
    </row>
    <row r="132" spans="14:14">
      <c r="N132" s="28"/>
    </row>
    <row r="133" spans="14:14">
      <c r="N133" s="28"/>
    </row>
    <row r="134" spans="14:14">
      <c r="N134" s="28"/>
    </row>
    <row r="135" spans="14:14">
      <c r="N135" s="29"/>
    </row>
    <row r="136" spans="14:14">
      <c r="N136" s="29"/>
    </row>
    <row r="137" spans="14:14">
      <c r="N137" s="29"/>
    </row>
    <row r="138" spans="14:14">
      <c r="N138" s="27"/>
    </row>
    <row r="139" spans="14:14">
      <c r="N139" s="27"/>
    </row>
    <row r="140" spans="14:14">
      <c r="N140" s="29"/>
    </row>
    <row r="141" spans="14:14">
      <c r="N141" s="29"/>
    </row>
    <row r="142" spans="14:14">
      <c r="N142" s="29"/>
    </row>
    <row r="143" spans="14:14">
      <c r="N143" s="27"/>
    </row>
  </sheetData>
  <pageMargins left="0.7" right="0.7" top="0.75" bottom="0.75" header="0.3" footer="0.3"/>
  <ignoredErrors>
    <ignoredError sqref="D58:P5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CFD29-E562-6542-86EC-FF86247599E3}">
  <sheetPr codeName="Sheet7"/>
  <dimension ref="B1:P51"/>
  <sheetViews>
    <sheetView showGridLines="0" zoomScale="84" zoomScaleNormal="84" workbookViewId="0">
      <selection activeCell="K9" sqref="K9"/>
    </sheetView>
  </sheetViews>
  <sheetFormatPr baseColWidth="10" defaultRowHeight="16"/>
  <cols>
    <col min="1" max="1" width="1.1640625" customWidth="1"/>
    <col min="2" max="2" width="70.5" bestFit="1" customWidth="1"/>
    <col min="9" max="9" width="11.6640625" customWidth="1"/>
    <col min="10" max="10" width="13.33203125" customWidth="1"/>
  </cols>
  <sheetData>
    <row r="1" spans="2:16" ht="23">
      <c r="B1" s="421" t="str">
        <f>IS!B1</f>
        <v>Urban Outfitters Inc. (Nasdaq: URBN)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2:16" ht="18">
      <c r="B2" s="202" t="s">
        <v>524</v>
      </c>
      <c r="C2" s="202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</row>
    <row r="3" spans="2:16">
      <c r="B3" s="203" t="s">
        <v>460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</row>
    <row r="5" spans="2:16">
      <c r="B5" s="556" t="s">
        <v>83</v>
      </c>
      <c r="C5" s="557"/>
      <c r="D5" s="619" t="str">
        <f>IS!J8</f>
        <v>FY2021A</v>
      </c>
      <c r="E5" s="619" t="str">
        <f>IS!K8</f>
        <v>FY2022A</v>
      </c>
      <c r="F5" s="619" t="str">
        <f>IS!L8</f>
        <v>FY2023A</v>
      </c>
      <c r="G5" s="619" t="str">
        <f>IS!M8</f>
        <v>FY2024A</v>
      </c>
      <c r="H5" s="620" t="str">
        <f>IS!N8</f>
        <v>FY2025A</v>
      </c>
      <c r="I5" s="179" t="s">
        <v>261</v>
      </c>
      <c r="J5" s="179" t="s">
        <v>262</v>
      </c>
      <c r="K5" s="505" t="s">
        <v>274</v>
      </c>
      <c r="L5" s="80" t="str">
        <f>IS!T8</f>
        <v>FY2026E</v>
      </c>
      <c r="M5" s="80" t="str">
        <f>IS!U8</f>
        <v>FY2027E</v>
      </c>
      <c r="N5" s="80" t="str">
        <f>IS!V8</f>
        <v>FY2028E</v>
      </c>
      <c r="O5" s="80" t="str">
        <f>IS!W8</f>
        <v>FY2029E</v>
      </c>
      <c r="P5" s="80" t="str">
        <f>IS!X8</f>
        <v>FY2030E</v>
      </c>
    </row>
    <row r="6" spans="2:16">
      <c r="B6" s="558" t="s">
        <v>80</v>
      </c>
      <c r="C6" s="559"/>
      <c r="D6" s="560">
        <f>IS!J32</f>
        <v>168096</v>
      </c>
      <c r="E6" s="560">
        <f>IS!K32</f>
        <v>1236</v>
      </c>
      <c r="F6" s="560">
        <f>IS!L32</f>
        <v>310616</v>
      </c>
      <c r="G6" s="560">
        <f>IS!M32</f>
        <v>159699</v>
      </c>
      <c r="H6" s="561">
        <f>IS!N32</f>
        <v>287674</v>
      </c>
      <c r="I6" s="560">
        <f>IS!P32</f>
        <v>83014</v>
      </c>
      <c r="J6" s="560">
        <f>IS!Q32</f>
        <v>102911</v>
      </c>
      <c r="K6" s="562">
        <f>H6+J6-I6</f>
        <v>307571</v>
      </c>
      <c r="L6" s="560">
        <f>IS!T32</f>
        <v>359397.76134107978</v>
      </c>
      <c r="M6" s="560">
        <f>IS!U32</f>
        <v>405297.37483738275</v>
      </c>
      <c r="N6" s="560">
        <f>IS!V32</f>
        <v>453887.26350432762</v>
      </c>
      <c r="O6" s="560">
        <f>IS!W32</f>
        <v>505892.54964252922</v>
      </c>
      <c r="P6" s="560">
        <f>IS!X32</f>
        <v>560277.28272034437</v>
      </c>
    </row>
    <row r="7" spans="2:16">
      <c r="B7" s="563"/>
      <c r="C7" s="564"/>
      <c r="D7" s="565"/>
      <c r="E7" s="566"/>
      <c r="F7" s="565"/>
      <c r="G7" s="565"/>
      <c r="H7" s="567"/>
      <c r="I7" s="510"/>
      <c r="J7" s="510"/>
      <c r="K7" s="511"/>
      <c r="L7" s="510"/>
      <c r="M7" s="510"/>
      <c r="N7" s="510"/>
      <c r="O7" s="510"/>
      <c r="P7" s="510"/>
    </row>
    <row r="8" spans="2:16" ht="16" customHeight="1">
      <c r="B8" s="568" t="s">
        <v>114</v>
      </c>
      <c r="C8" s="564"/>
      <c r="D8" s="569"/>
      <c r="E8" s="566"/>
      <c r="F8" s="570"/>
      <c r="G8" s="569"/>
      <c r="H8" s="571"/>
      <c r="I8" s="510"/>
      <c r="J8" s="510"/>
      <c r="K8" s="511"/>
      <c r="L8" s="510"/>
      <c r="M8" s="510"/>
      <c r="N8" s="510"/>
      <c r="O8" s="510"/>
      <c r="P8" s="510"/>
    </row>
    <row r="9" spans="2:16">
      <c r="B9" s="572" t="s">
        <v>84</v>
      </c>
      <c r="C9" s="564"/>
      <c r="D9" s="586">
        <v>112256</v>
      </c>
      <c r="E9" s="587">
        <v>103771</v>
      </c>
      <c r="F9" s="586">
        <v>105672</v>
      </c>
      <c r="G9" s="586">
        <v>102339</v>
      </c>
      <c r="H9" s="588">
        <v>102487</v>
      </c>
      <c r="I9" s="586">
        <v>27815</v>
      </c>
      <c r="J9" s="586">
        <v>29479</v>
      </c>
      <c r="K9" s="515">
        <f>H9+J9-I9</f>
        <v>104151</v>
      </c>
      <c r="L9" s="565">
        <f>IS!T38</f>
        <v>122976.13732800001</v>
      </c>
      <c r="M9" s="565">
        <f>IS!U38</f>
        <v>130846.61011699201</v>
      </c>
      <c r="N9" s="565">
        <f>IS!V38</f>
        <v>138697.40672401155</v>
      </c>
      <c r="O9" s="565">
        <f>IS!W38</f>
        <v>146741.85631400422</v>
      </c>
      <c r="P9" s="565">
        <f>IS!X38</f>
        <v>154665.91655496045</v>
      </c>
    </row>
    <row r="10" spans="2:16">
      <c r="B10" s="572" t="s">
        <v>85</v>
      </c>
      <c r="C10" s="564"/>
      <c r="D10" s="586">
        <v>190652</v>
      </c>
      <c r="E10" s="587">
        <v>197088</v>
      </c>
      <c r="F10" s="586">
        <v>193032</v>
      </c>
      <c r="G10" s="586">
        <v>193863</v>
      </c>
      <c r="H10" s="588">
        <v>202265</v>
      </c>
      <c r="I10" s="586">
        <v>50136</v>
      </c>
      <c r="J10" s="586">
        <v>59320</v>
      </c>
      <c r="K10" s="515">
        <f t="shared" ref="K10:K22" si="0">H10+J10-I10</f>
        <v>211449</v>
      </c>
      <c r="L10" s="565">
        <f>AVERAGE($D$10:$H$10)</f>
        <v>195380</v>
      </c>
      <c r="M10" s="565">
        <f t="shared" ref="M10:P10" si="1">AVERAGE($D$10:$H$10)</f>
        <v>195380</v>
      </c>
      <c r="N10" s="565">
        <f t="shared" si="1"/>
        <v>195380</v>
      </c>
      <c r="O10" s="565">
        <f t="shared" si="1"/>
        <v>195380</v>
      </c>
      <c r="P10" s="565">
        <f t="shared" si="1"/>
        <v>195380</v>
      </c>
    </row>
    <row r="11" spans="2:16">
      <c r="B11" s="572" t="s">
        <v>86</v>
      </c>
      <c r="C11" s="564"/>
      <c r="D11" s="586">
        <v>1451</v>
      </c>
      <c r="E11" s="587">
        <v>-14270</v>
      </c>
      <c r="F11" s="586">
        <v>-2695</v>
      </c>
      <c r="G11" s="586">
        <v>-2577</v>
      </c>
      <c r="H11" s="588">
        <v>24711</v>
      </c>
      <c r="I11" s="586">
        <v>37110</v>
      </c>
      <c r="J11" s="586">
        <v>-1761</v>
      </c>
      <c r="K11" s="515">
        <f t="shared" si="0"/>
        <v>-14160</v>
      </c>
      <c r="L11" s="565">
        <f>AVERAGE($D$11:$H$11)</f>
        <v>1324</v>
      </c>
      <c r="M11" s="565">
        <f t="shared" ref="M11:P11" si="2">AVERAGE($D$11:$H$11)</f>
        <v>1324</v>
      </c>
      <c r="N11" s="565">
        <f t="shared" si="2"/>
        <v>1324</v>
      </c>
      <c r="O11" s="565">
        <f t="shared" si="2"/>
        <v>1324</v>
      </c>
      <c r="P11" s="565">
        <f t="shared" si="2"/>
        <v>1324</v>
      </c>
    </row>
    <row r="12" spans="2:16">
      <c r="B12" s="572" t="s">
        <v>87</v>
      </c>
      <c r="C12" s="564"/>
      <c r="D12" s="586">
        <v>21109</v>
      </c>
      <c r="E12" s="587">
        <v>20300</v>
      </c>
      <c r="F12" s="586">
        <v>25741</v>
      </c>
      <c r="G12" s="586">
        <v>29449</v>
      </c>
      <c r="H12" s="588">
        <v>30508</v>
      </c>
      <c r="I12" s="586">
        <v>7689</v>
      </c>
      <c r="J12" s="586">
        <v>7810</v>
      </c>
      <c r="K12" s="515">
        <f t="shared" si="0"/>
        <v>30629</v>
      </c>
      <c r="L12" s="565">
        <f>AVERAGE(D12:H12)</f>
        <v>25421.4</v>
      </c>
      <c r="M12" s="565">
        <f>AVERAGE(E12:I12)</f>
        <v>22737.4</v>
      </c>
      <c r="N12" s="565">
        <f>AVERAGE(F12:J12)</f>
        <v>20239.400000000001</v>
      </c>
      <c r="O12" s="565">
        <f>AVERAGE(G12:K12)</f>
        <v>21217</v>
      </c>
      <c r="P12" s="565">
        <f>AVERAGE(H12:L12)</f>
        <v>20411.48</v>
      </c>
    </row>
    <row r="13" spans="2:16">
      <c r="B13" s="572" t="s">
        <v>88</v>
      </c>
      <c r="C13" s="564"/>
      <c r="D13" s="586">
        <v>0</v>
      </c>
      <c r="E13" s="587">
        <v>0</v>
      </c>
      <c r="F13" s="586">
        <v>0</v>
      </c>
      <c r="G13" s="586">
        <v>0</v>
      </c>
      <c r="H13" s="588">
        <v>15906</v>
      </c>
      <c r="I13" s="586">
        <v>1392</v>
      </c>
      <c r="J13" s="586">
        <v>0</v>
      </c>
      <c r="K13" s="515">
        <f t="shared" si="0"/>
        <v>14514</v>
      </c>
      <c r="L13" s="565">
        <v>0</v>
      </c>
      <c r="M13" s="565">
        <v>0</v>
      </c>
      <c r="N13" s="565">
        <v>0</v>
      </c>
      <c r="O13" s="565">
        <v>0</v>
      </c>
      <c r="P13" s="565">
        <v>0</v>
      </c>
    </row>
    <row r="14" spans="2:16">
      <c r="B14" s="572" t="s">
        <v>72</v>
      </c>
      <c r="C14" s="564"/>
      <c r="D14" s="586">
        <v>14611</v>
      </c>
      <c r="E14" s="587">
        <v>15496</v>
      </c>
      <c r="F14" s="586">
        <v>0</v>
      </c>
      <c r="G14" s="586">
        <v>6417</v>
      </c>
      <c r="H14" s="588">
        <v>11875</v>
      </c>
      <c r="I14" s="586">
        <v>0</v>
      </c>
      <c r="J14" s="586">
        <v>0</v>
      </c>
      <c r="K14" s="515">
        <f t="shared" si="0"/>
        <v>11875</v>
      </c>
      <c r="L14" s="565">
        <f>AVERAGE(D14:H14)</f>
        <v>9679.7999999999993</v>
      </c>
      <c r="M14" s="565">
        <f>AVERAGE(E14:I14)</f>
        <v>6757.6</v>
      </c>
      <c r="N14" s="565">
        <f>AVERAGE(F14:J14)</f>
        <v>3658.4</v>
      </c>
      <c r="O14" s="565">
        <f>AVERAGE(G14:K14)</f>
        <v>6033.4</v>
      </c>
      <c r="P14" s="565">
        <f>AVERAGE(H14:L14)</f>
        <v>6685.9600000000009</v>
      </c>
    </row>
    <row r="15" spans="2:16">
      <c r="B15" s="572" t="s">
        <v>82</v>
      </c>
      <c r="C15" s="564"/>
      <c r="D15" s="586">
        <v>13911</v>
      </c>
      <c r="E15" s="587">
        <v>0</v>
      </c>
      <c r="F15" s="586">
        <v>0</v>
      </c>
      <c r="G15" s="586">
        <v>0</v>
      </c>
      <c r="H15" s="588">
        <v>6404</v>
      </c>
      <c r="I15" s="586">
        <v>0</v>
      </c>
      <c r="J15" s="586">
        <v>0</v>
      </c>
      <c r="K15" s="515">
        <f t="shared" si="0"/>
        <v>6404</v>
      </c>
      <c r="L15" s="565">
        <v>0</v>
      </c>
      <c r="M15" s="565">
        <v>0</v>
      </c>
      <c r="N15" s="565">
        <v>0</v>
      </c>
      <c r="O15" s="565">
        <v>0</v>
      </c>
      <c r="P15" s="565">
        <v>0</v>
      </c>
    </row>
    <row r="16" spans="2:16">
      <c r="B16" s="572" t="s">
        <v>89</v>
      </c>
      <c r="C16" s="564"/>
      <c r="D16" s="586">
        <v>1643</v>
      </c>
      <c r="E16" s="587">
        <v>779</v>
      </c>
      <c r="F16" s="586">
        <v>1</v>
      </c>
      <c r="G16" s="586">
        <v>982</v>
      </c>
      <c r="H16" s="588">
        <v>309</v>
      </c>
      <c r="I16" s="586">
        <v>0</v>
      </c>
      <c r="J16" s="586">
        <v>1133</v>
      </c>
      <c r="K16" s="515">
        <f t="shared" si="0"/>
        <v>1442</v>
      </c>
      <c r="L16" s="565">
        <f>AVERAGE(D16:H16)</f>
        <v>742.8</v>
      </c>
      <c r="M16" s="565">
        <f>AVERAGE(E16:I16)</f>
        <v>414.2</v>
      </c>
      <c r="N16" s="565">
        <f>AVERAGE(F16:J16)</f>
        <v>485</v>
      </c>
      <c r="O16" s="565">
        <f>AVERAGE(G16:K16)</f>
        <v>773.2</v>
      </c>
      <c r="P16" s="565">
        <f>AVERAGE(H16:L16)</f>
        <v>725.36</v>
      </c>
    </row>
    <row r="17" spans="2:16">
      <c r="B17" s="572" t="s">
        <v>90</v>
      </c>
      <c r="C17" s="564"/>
      <c r="D17" s="586"/>
      <c r="E17" s="587"/>
      <c r="F17" s="586"/>
      <c r="G17" s="586"/>
      <c r="H17" s="588"/>
      <c r="I17" s="589"/>
      <c r="J17" s="586"/>
      <c r="K17" s="515"/>
      <c r="L17" s="565"/>
      <c r="M17" s="565"/>
      <c r="N17" s="565"/>
      <c r="O17" s="565"/>
      <c r="P17" s="565"/>
    </row>
    <row r="18" spans="2:16">
      <c r="B18" s="573" t="s">
        <v>91</v>
      </c>
      <c r="C18" s="564"/>
      <c r="D18" s="586">
        <v>-7825</v>
      </c>
      <c r="E18" s="587">
        <v>-1223</v>
      </c>
      <c r="F18" s="586">
        <v>26029</v>
      </c>
      <c r="G18" s="586">
        <v>-7103</v>
      </c>
      <c r="H18" s="588">
        <v>3708</v>
      </c>
      <c r="I18" s="586">
        <v>927</v>
      </c>
      <c r="J18" s="586">
        <v>-18076</v>
      </c>
      <c r="K18" s="515">
        <f t="shared" si="0"/>
        <v>-15295</v>
      </c>
      <c r="L18" s="565">
        <f>-(NWC!J11-NWC!G11)</f>
        <v>-21816.607285479462</v>
      </c>
      <c r="M18" s="565">
        <f>-(NWC!K11-NWC!J11)</f>
        <v>-5684.7748662706872</v>
      </c>
      <c r="N18" s="565">
        <f>-(NWC!L11-NWC!K11)</f>
        <v>-5670.5629291050136</v>
      </c>
      <c r="O18" s="565">
        <f>-(NWC!M11-NWC!L11)</f>
        <v>-5810.4368146896159</v>
      </c>
      <c r="P18" s="565">
        <f>-(NWC!N11-NWC!M11)</f>
        <v>-5723.4806223594205</v>
      </c>
    </row>
    <row r="19" spans="2:16">
      <c r="B19" s="573" t="s">
        <v>28</v>
      </c>
      <c r="C19" s="564"/>
      <c r="D19" s="586">
        <v>-39101</v>
      </c>
      <c r="E19" s="587">
        <v>22381</v>
      </c>
      <c r="F19" s="586">
        <v>-181898</v>
      </c>
      <c r="G19" s="586">
        <v>-22286</v>
      </c>
      <c r="H19" s="588">
        <v>38785</v>
      </c>
      <c r="I19" s="586">
        <v>-138515</v>
      </c>
      <c r="J19" s="586">
        <v>-188140</v>
      </c>
      <c r="K19" s="515">
        <f t="shared" si="0"/>
        <v>-10840</v>
      </c>
      <c r="L19" s="565">
        <f>-(NWC!J12-NWC!G12)</f>
        <v>-168012.15201534261</v>
      </c>
      <c r="M19" s="565">
        <f>-(NWC!K12-NWC!J12)</f>
        <v>-40265.113357755705</v>
      </c>
      <c r="N19" s="565">
        <f>-(NWC!L12-NWC!K12)</f>
        <v>-39465.81440888613</v>
      </c>
      <c r="O19" s="565">
        <f>-(NWC!M12-NWC!L12)</f>
        <v>-39887.163306072238</v>
      </c>
      <c r="P19" s="565">
        <f>-(NWC!N12-NWC!M12)</f>
        <v>-38503.74735412281</v>
      </c>
    </row>
    <row r="20" spans="2:16">
      <c r="B20" s="573" t="s">
        <v>92</v>
      </c>
      <c r="C20" s="564"/>
      <c r="D20" s="586">
        <v>-16308</v>
      </c>
      <c r="E20" s="587">
        <v>-25239</v>
      </c>
      <c r="F20" s="586">
        <v>-10209</v>
      </c>
      <c r="G20" s="586">
        <v>-31257</v>
      </c>
      <c r="H20" s="588">
        <v>-53532</v>
      </c>
      <c r="I20" s="586">
        <v>-26701</v>
      </c>
      <c r="J20" s="586">
        <v>-4230</v>
      </c>
      <c r="K20" s="515">
        <f t="shared" si="0"/>
        <v>-31061</v>
      </c>
      <c r="L20" s="565">
        <f>-(NWC!J13-NWC!G13)</f>
        <v>4544.1451599999564</v>
      </c>
      <c r="M20" s="565">
        <f>-(NWC!K13-NWC!J13)</f>
        <v>-12521.206709760008</v>
      </c>
      <c r="N20" s="565">
        <f>-(NWC!L13-NWC!K13)</f>
        <v>-12489.903692985623</v>
      </c>
      <c r="O20" s="565">
        <f>-(NWC!M13-NWC!L13)</f>
        <v>-12797.987984079256</v>
      </c>
      <c r="P20" s="565">
        <f>-(NWC!N13-NWC!M13)</f>
        <v>-12606.45947424855</v>
      </c>
    </row>
    <row r="21" spans="2:16">
      <c r="B21" s="573" t="s">
        <v>93</v>
      </c>
      <c r="C21" s="564"/>
      <c r="D21" s="586">
        <v>22661</v>
      </c>
      <c r="E21" s="587">
        <v>152905</v>
      </c>
      <c r="F21" s="586">
        <v>124840</v>
      </c>
      <c r="G21" s="586">
        <v>-49593</v>
      </c>
      <c r="H21" s="588">
        <v>74185</v>
      </c>
      <c r="I21" s="586">
        <v>84162</v>
      </c>
      <c r="J21" s="586">
        <v>96915</v>
      </c>
      <c r="K21" s="515">
        <f t="shared" si="0"/>
        <v>86938</v>
      </c>
      <c r="L21" s="565">
        <f>NWC!J17-NWC!G17</f>
        <v>7005.9868712329189</v>
      </c>
      <c r="M21" s="565">
        <f>NWC!K17-NWC!J17</f>
        <v>16662.271159758908</v>
      </c>
      <c r="N21" s="565">
        <f>NWC!L17-NWC!K17</f>
        <v>16620.615481859539</v>
      </c>
      <c r="O21" s="565">
        <f>NWC!M17-NWC!L17</f>
        <v>17030.590663745417</v>
      </c>
      <c r="P21" s="565">
        <f>NWC!N17-NWC!M17</f>
        <v>16775.719065536221</v>
      </c>
    </row>
    <row r="22" spans="2:16">
      <c r="B22" s="574" t="s">
        <v>94</v>
      </c>
      <c r="C22" s="575"/>
      <c r="D22" s="590">
        <v>-209263</v>
      </c>
      <c r="E22" s="591">
        <v>-187410</v>
      </c>
      <c r="F22" s="590">
        <v>-231810</v>
      </c>
      <c r="G22" s="590">
        <v>-237204</v>
      </c>
      <c r="H22" s="592">
        <v>-235874</v>
      </c>
      <c r="I22" s="593">
        <v>-58037</v>
      </c>
      <c r="J22" s="590">
        <v>-66813</v>
      </c>
      <c r="K22" s="520">
        <f t="shared" si="0"/>
        <v>-244650</v>
      </c>
      <c r="L22" s="576">
        <f>SUM(NWC!J18:J19)-SUM(NWC!G18:G19)</f>
        <v>-133273.38869565213</v>
      </c>
      <c r="M22" s="576">
        <f>SUM(NWC!K18:K19)-SUM(NWC!J18:J19)</f>
        <v>38885.735123478342</v>
      </c>
      <c r="N22" s="576">
        <f>SUM(NWC!L18:L19)-SUM(NWC!K18:K19)</f>
        <v>38788.520785669563</v>
      </c>
      <c r="O22" s="576">
        <f>SUM(NWC!M18:M19)-SUM(NWC!L18:L19)</f>
        <v>39745.304298382718</v>
      </c>
      <c r="P22" s="576">
        <f>SUM(NWC!N18:N19)-SUM(NWC!M18:M19)</f>
        <v>39150.495261641452</v>
      </c>
    </row>
    <row r="23" spans="2:16">
      <c r="B23" s="558" t="s">
        <v>3633</v>
      </c>
      <c r="C23" s="559"/>
      <c r="D23" s="577">
        <f t="shared" ref="D23:H23" si="3">SUM(D6:D22)</f>
        <v>273893</v>
      </c>
      <c r="E23" s="577">
        <f t="shared" si="3"/>
        <v>285814</v>
      </c>
      <c r="F23" s="577">
        <f t="shared" si="3"/>
        <v>359319</v>
      </c>
      <c r="G23" s="577">
        <f t="shared" si="3"/>
        <v>142729</v>
      </c>
      <c r="H23" s="578">
        <f t="shared" si="3"/>
        <v>509411</v>
      </c>
      <c r="I23" s="656">
        <f>SUM(I6:I22)</f>
        <v>68992</v>
      </c>
      <c r="J23" s="656">
        <f>SUM(J6:J22)</f>
        <v>18548</v>
      </c>
      <c r="K23" s="578">
        <f>SUM(K6:K22)</f>
        <v>458967</v>
      </c>
      <c r="L23" s="566">
        <f>SUM(L6:L22)</f>
        <v>403369.88270383864</v>
      </c>
      <c r="M23" s="566">
        <f>SUM(M6:M22)</f>
        <v>759834.0963038255</v>
      </c>
      <c r="N23" s="566">
        <f t="shared" ref="N23:P23" si="4">SUM(N6:N22)</f>
        <v>811454.3254648915</v>
      </c>
      <c r="O23" s="566">
        <f t="shared" si="4"/>
        <v>875642.31281382043</v>
      </c>
      <c r="P23" s="566">
        <f t="shared" si="4"/>
        <v>938562.52615175163</v>
      </c>
    </row>
    <row r="24" spans="2:16">
      <c r="B24" s="563"/>
      <c r="C24" s="564"/>
      <c r="D24" s="569"/>
      <c r="E24" s="566"/>
      <c r="F24" s="565"/>
      <c r="G24" s="565"/>
      <c r="H24" s="567"/>
      <c r="I24" s="510"/>
      <c r="J24" s="510"/>
      <c r="K24" s="511"/>
      <c r="L24" s="510"/>
      <c r="M24" s="510"/>
      <c r="N24" s="510"/>
      <c r="O24" s="510"/>
      <c r="P24" s="510"/>
    </row>
    <row r="25" spans="2:16">
      <c r="B25" s="563" t="s">
        <v>95</v>
      </c>
      <c r="C25" s="564"/>
      <c r="D25" s="569"/>
      <c r="E25" s="566"/>
      <c r="F25" s="570"/>
      <c r="G25" s="569"/>
      <c r="H25" s="571"/>
      <c r="I25" s="510"/>
      <c r="J25" s="510"/>
      <c r="K25" s="511"/>
      <c r="L25" s="510"/>
      <c r="M25" s="510"/>
      <c r="N25" s="510"/>
      <c r="O25" s="510"/>
      <c r="P25" s="510"/>
    </row>
    <row r="26" spans="2:16">
      <c r="B26" s="572" t="s">
        <v>96</v>
      </c>
      <c r="C26" s="564"/>
      <c r="D26" s="586">
        <v>-217433</v>
      </c>
      <c r="E26" s="587">
        <v>-159242</v>
      </c>
      <c r="F26" s="586">
        <v>-262429</v>
      </c>
      <c r="G26" s="586">
        <v>-199513</v>
      </c>
      <c r="H26" s="588">
        <v>-199625</v>
      </c>
      <c r="I26" s="586">
        <v>-72520</v>
      </c>
      <c r="J26" s="586">
        <v>-45198</v>
      </c>
      <c r="K26" s="515">
        <f t="shared" ref="K26:K29" si="5">H26+J26-I26</f>
        <v>-172303</v>
      </c>
      <c r="L26" s="565" cm="1">
        <f t="array" ref="L26">_xlfn.ANCHORARRAY(IS!T39)</f>
        <v>-279491.22120000003</v>
      </c>
      <c r="M26" s="565" cm="1">
        <f t="array" ref="M26">_xlfn.ANCHORARRAY(IS!U39)</f>
        <v>-312247.59232464002</v>
      </c>
      <c r="N26" s="565" cm="1">
        <f t="array" ref="N26">_xlfn.ANCHORARRAY(IS!V39)</f>
        <v>-346743.51681002887</v>
      </c>
      <c r="O26" s="565" cm="1">
        <f t="array" ref="O26">_xlfn.ANCHORARRAY(IS!W39)</f>
        <v>-383529.85172978381</v>
      </c>
      <c r="P26" s="565" cm="1">
        <f t="array" ref="P26">_xlfn.ANCHORARRAY(IS!X39)</f>
        <v>-404240.46372319211</v>
      </c>
    </row>
    <row r="27" spans="2:16">
      <c r="B27" s="572" t="s">
        <v>97</v>
      </c>
      <c r="C27" s="564"/>
      <c r="D27" s="586">
        <v>-397220</v>
      </c>
      <c r="E27" s="587">
        <v>-338918</v>
      </c>
      <c r="F27" s="586">
        <v>-505936</v>
      </c>
      <c r="G27" s="586">
        <v>-109148</v>
      </c>
      <c r="H27" s="588">
        <v>-649389</v>
      </c>
      <c r="I27" s="586">
        <v>-106062</v>
      </c>
      <c r="J27" s="586">
        <v>-100848</v>
      </c>
      <c r="K27" s="515">
        <f t="shared" si="5"/>
        <v>-644175</v>
      </c>
      <c r="L27" s="565">
        <f>AVERAGE(D27:H27)</f>
        <v>-400122.2</v>
      </c>
      <c r="M27" s="565">
        <f>AVERAGE(E27:I27)</f>
        <v>-341890.6</v>
      </c>
      <c r="N27" s="565">
        <f>AVERAGE(F27:J27)</f>
        <v>-294276.59999999998</v>
      </c>
      <c r="O27" s="565">
        <f>AVERAGE(G27:K27)</f>
        <v>-321924.40000000002</v>
      </c>
      <c r="P27" s="565">
        <f>AVERAGE(H27:L27)</f>
        <v>-380119.24</v>
      </c>
    </row>
    <row r="28" spans="2:16">
      <c r="B28" s="572" t="s">
        <v>98</v>
      </c>
      <c r="C28" s="564"/>
      <c r="D28" s="586">
        <v>428508</v>
      </c>
      <c r="E28" s="587">
        <v>396260</v>
      </c>
      <c r="F28" s="586">
        <v>280701</v>
      </c>
      <c r="G28" s="586">
        <v>276650</v>
      </c>
      <c r="H28" s="588">
        <v>347366</v>
      </c>
      <c r="I28" s="586">
        <v>92926</v>
      </c>
      <c r="J28" s="586">
        <v>105033</v>
      </c>
      <c r="K28" s="515">
        <f t="shared" si="5"/>
        <v>359473</v>
      </c>
      <c r="L28" s="565">
        <f>AVERAGE(D28:H28)</f>
        <v>345897</v>
      </c>
      <c r="M28" s="565">
        <f>AVERAGE(E28:I28)</f>
        <v>278780.59999999998</v>
      </c>
      <c r="N28" s="565">
        <f>AVERAGE(F28:J28)</f>
        <v>220535.2</v>
      </c>
      <c r="O28" s="565">
        <f>AVERAGE(G28:K28)</f>
        <v>236289.6</v>
      </c>
      <c r="P28" s="565">
        <f>AVERAGE(H28:L28)</f>
        <v>250139</v>
      </c>
    </row>
    <row r="29" spans="2:16">
      <c r="B29" s="579" t="s">
        <v>99</v>
      </c>
      <c r="C29" s="575"/>
      <c r="D29" s="590">
        <v>0</v>
      </c>
      <c r="E29" s="591">
        <v>0</v>
      </c>
      <c r="F29" s="590">
        <v>0</v>
      </c>
      <c r="G29" s="590">
        <v>0</v>
      </c>
      <c r="H29" s="592">
        <v>-20000</v>
      </c>
      <c r="I29" s="593">
        <v>0</v>
      </c>
      <c r="J29" s="590">
        <v>0</v>
      </c>
      <c r="K29" s="520">
        <f t="shared" si="5"/>
        <v>-20000</v>
      </c>
      <c r="L29" s="576">
        <v>0</v>
      </c>
      <c r="M29" s="576">
        <v>0</v>
      </c>
      <c r="N29" s="576">
        <v>0</v>
      </c>
      <c r="O29" s="576">
        <v>0</v>
      </c>
      <c r="P29" s="576">
        <v>0</v>
      </c>
    </row>
    <row r="30" spans="2:16">
      <c r="B30" s="580" t="s">
        <v>3634</v>
      </c>
      <c r="C30" s="559"/>
      <c r="D30" s="577">
        <f t="shared" ref="D30:L30" si="6">SUM(D26:D29)</f>
        <v>-186145</v>
      </c>
      <c r="E30" s="577">
        <f t="shared" si="6"/>
        <v>-101900</v>
      </c>
      <c r="F30" s="577">
        <f t="shared" si="6"/>
        <v>-487664</v>
      </c>
      <c r="G30" s="577">
        <f t="shared" si="6"/>
        <v>-32011</v>
      </c>
      <c r="H30" s="578">
        <f t="shared" si="6"/>
        <v>-521648</v>
      </c>
      <c r="I30" s="566">
        <f t="shared" si="6"/>
        <v>-85656</v>
      </c>
      <c r="J30" s="566">
        <f t="shared" si="6"/>
        <v>-41013</v>
      </c>
      <c r="K30" s="515">
        <f t="shared" si="6"/>
        <v>-477005</v>
      </c>
      <c r="L30" s="566">
        <f t="shared" si="6"/>
        <v>-333716.42119999998</v>
      </c>
      <c r="M30" s="566">
        <f t="shared" ref="M30:P30" si="7">SUM(M26:M29)</f>
        <v>-375357.59232464002</v>
      </c>
      <c r="N30" s="566">
        <f t="shared" si="7"/>
        <v>-420484.9168100289</v>
      </c>
      <c r="O30" s="566">
        <f t="shared" si="7"/>
        <v>-469164.65172978386</v>
      </c>
      <c r="P30" s="566">
        <f t="shared" si="7"/>
        <v>-534220.7037231921</v>
      </c>
    </row>
    <row r="31" spans="2:16">
      <c r="B31" s="572"/>
      <c r="C31" s="564"/>
      <c r="D31" s="569"/>
      <c r="E31" s="566"/>
      <c r="F31" s="565"/>
      <c r="G31" s="565"/>
      <c r="H31" s="567"/>
      <c r="I31" s="510"/>
      <c r="J31" s="510"/>
      <c r="K31" s="511"/>
      <c r="L31" s="510"/>
      <c r="M31" s="510"/>
      <c r="N31" s="510"/>
      <c r="O31" s="510"/>
      <c r="P31" s="510"/>
    </row>
    <row r="32" spans="2:16">
      <c r="B32" s="563" t="s">
        <v>100</v>
      </c>
      <c r="C32" s="564"/>
      <c r="D32" s="569"/>
      <c r="E32" s="566"/>
      <c r="F32" s="570"/>
      <c r="G32" s="569"/>
      <c r="H32" s="571"/>
      <c r="I32" s="510"/>
      <c r="J32" s="510"/>
      <c r="K32" s="511"/>
      <c r="L32" s="510"/>
      <c r="M32" s="510"/>
      <c r="N32" s="510"/>
      <c r="O32" s="510"/>
      <c r="P32" s="510"/>
    </row>
    <row r="33" spans="2:16">
      <c r="B33" s="572" t="s">
        <v>101</v>
      </c>
      <c r="C33" s="564"/>
      <c r="D33" s="586">
        <v>974</v>
      </c>
      <c r="E33" s="587">
        <v>495</v>
      </c>
      <c r="F33" s="586">
        <v>3290</v>
      </c>
      <c r="G33" s="586">
        <v>376</v>
      </c>
      <c r="H33" s="588">
        <v>594</v>
      </c>
      <c r="I33" s="586">
        <v>0</v>
      </c>
      <c r="J33" s="586">
        <v>0</v>
      </c>
      <c r="K33" s="515">
        <f t="shared" ref="K33:K36" si="8">H33+J33-I33</f>
        <v>594</v>
      </c>
      <c r="L33" s="510">
        <f>AVERAGE($D$33:$H$33)</f>
        <v>1145.8</v>
      </c>
      <c r="M33" s="510">
        <f t="shared" ref="M33:P33" si="9">AVERAGE($D$33:$H$33)</f>
        <v>1145.8</v>
      </c>
      <c r="N33" s="510">
        <f t="shared" si="9"/>
        <v>1145.8</v>
      </c>
      <c r="O33" s="510">
        <f t="shared" si="9"/>
        <v>1145.8</v>
      </c>
      <c r="P33" s="510">
        <f t="shared" si="9"/>
        <v>1145.8</v>
      </c>
    </row>
    <row r="34" spans="2:16">
      <c r="B34" s="572" t="s">
        <v>102</v>
      </c>
      <c r="C34" s="564"/>
      <c r="D34" s="586">
        <v>-217421</v>
      </c>
      <c r="E34" s="587">
        <v>-7036</v>
      </c>
      <c r="F34" s="586">
        <v>-55765</v>
      </c>
      <c r="G34" s="586">
        <v>-112016</v>
      </c>
      <c r="H34" s="588">
        <v>0</v>
      </c>
      <c r="I34" s="586">
        <v>8184</v>
      </c>
      <c r="J34" s="586">
        <v>0</v>
      </c>
      <c r="K34" s="515">
        <f t="shared" si="8"/>
        <v>-8184</v>
      </c>
      <c r="L34" s="565">
        <f>AVERAGE($D$34:$H$34)</f>
        <v>-78447.600000000006</v>
      </c>
      <c r="M34" s="565">
        <f t="shared" ref="M34:P34" si="10">AVERAGE($D$34:$H$34)</f>
        <v>-78447.600000000006</v>
      </c>
      <c r="N34" s="565">
        <f t="shared" si="10"/>
        <v>-78447.600000000006</v>
      </c>
      <c r="O34" s="565">
        <f t="shared" si="10"/>
        <v>-78447.600000000006</v>
      </c>
      <c r="P34" s="565">
        <f t="shared" si="10"/>
        <v>-78447.600000000006</v>
      </c>
    </row>
    <row r="35" spans="2:16">
      <c r="B35" s="572" t="s">
        <v>103</v>
      </c>
      <c r="C35" s="564"/>
      <c r="D35" s="586">
        <v>-5600</v>
      </c>
      <c r="E35" s="587">
        <v>-3876</v>
      </c>
      <c r="F35" s="586">
        <v>-7790</v>
      </c>
      <c r="G35" s="586">
        <v>-6760</v>
      </c>
      <c r="H35" s="588">
        <v>-8407</v>
      </c>
      <c r="I35" s="586">
        <v>-9636</v>
      </c>
      <c r="J35" s="586">
        <v>-3794</v>
      </c>
      <c r="K35" s="515">
        <f t="shared" si="8"/>
        <v>-2565</v>
      </c>
      <c r="L35" s="565">
        <f>AVERAGE(D35:H35)</f>
        <v>-6486.6</v>
      </c>
      <c r="M35" s="565">
        <f>AVERAGE(E35:I35)</f>
        <v>-7293.8</v>
      </c>
      <c r="N35" s="565">
        <f>AVERAGE(F35:J35)</f>
        <v>-7277.4</v>
      </c>
      <c r="O35" s="565">
        <f>AVERAGE(G35:K35)</f>
        <v>-6232.4</v>
      </c>
      <c r="P35" s="565">
        <f>AVERAGE(H35:L35)</f>
        <v>-6177.7199999999993</v>
      </c>
    </row>
    <row r="36" spans="2:16">
      <c r="B36" s="579" t="s">
        <v>104</v>
      </c>
      <c r="C36" s="575"/>
      <c r="D36" s="590">
        <v>0</v>
      </c>
      <c r="E36" s="591">
        <v>0</v>
      </c>
      <c r="F36" s="590">
        <v>0</v>
      </c>
      <c r="G36" s="590">
        <v>0</v>
      </c>
      <c r="H36" s="592">
        <v>-4319</v>
      </c>
      <c r="I36" s="593">
        <v>0</v>
      </c>
      <c r="J36" s="590">
        <v>0</v>
      </c>
      <c r="K36" s="520">
        <f t="shared" si="8"/>
        <v>-4319</v>
      </c>
      <c r="L36" s="576">
        <v>0</v>
      </c>
      <c r="M36" s="576">
        <v>0</v>
      </c>
      <c r="N36" s="576">
        <v>0</v>
      </c>
      <c r="O36" s="576">
        <v>0</v>
      </c>
      <c r="P36" s="576">
        <v>0</v>
      </c>
    </row>
    <row r="37" spans="2:16">
      <c r="B37" s="558" t="s">
        <v>3635</v>
      </c>
      <c r="C37" s="559"/>
      <c r="D37" s="577">
        <f t="shared" ref="D37:K37" si="11">SUM(D33:D36)</f>
        <v>-222047</v>
      </c>
      <c r="E37" s="577">
        <f t="shared" si="11"/>
        <v>-10417</v>
      </c>
      <c r="F37" s="577">
        <f t="shared" si="11"/>
        <v>-60265</v>
      </c>
      <c r="G37" s="577">
        <f t="shared" si="11"/>
        <v>-118400</v>
      </c>
      <c r="H37" s="578">
        <f t="shared" si="11"/>
        <v>-12132</v>
      </c>
      <c r="I37" s="566">
        <f t="shared" si="11"/>
        <v>-1452</v>
      </c>
      <c r="J37" s="569">
        <f t="shared" si="11"/>
        <v>-3794</v>
      </c>
      <c r="K37" s="571">
        <f t="shared" si="11"/>
        <v>-14474</v>
      </c>
      <c r="L37" s="569"/>
      <c r="M37" s="569"/>
      <c r="N37" s="569"/>
      <c r="O37" s="569"/>
      <c r="P37" s="569"/>
    </row>
    <row r="38" spans="2:16">
      <c r="B38" s="563"/>
      <c r="C38" s="564"/>
      <c r="D38" s="569"/>
      <c r="E38" s="566"/>
      <c r="F38" s="565"/>
      <c r="G38" s="565"/>
      <c r="H38" s="567"/>
      <c r="I38" s="510"/>
      <c r="J38" s="510"/>
      <c r="K38" s="511"/>
      <c r="L38" s="510"/>
      <c r="M38" s="510"/>
      <c r="N38" s="510"/>
      <c r="O38" s="510"/>
      <c r="P38" s="510"/>
    </row>
    <row r="39" spans="2:16">
      <c r="B39" s="563" t="s">
        <v>105</v>
      </c>
      <c r="C39" s="564"/>
      <c r="D39" s="586">
        <v>-2122</v>
      </c>
      <c r="E39" s="587">
        <v>299</v>
      </c>
      <c r="F39" s="586">
        <v>-450</v>
      </c>
      <c r="G39" s="586">
        <v>2367</v>
      </c>
      <c r="H39" s="588">
        <v>1430</v>
      </c>
      <c r="I39" s="586">
        <v>-391</v>
      </c>
      <c r="J39" s="586">
        <v>-354</v>
      </c>
      <c r="K39" s="515">
        <f t="shared" ref="K39" si="12">H39+J39-I39</f>
        <v>1467</v>
      </c>
      <c r="L39" s="565">
        <v>0</v>
      </c>
      <c r="M39" s="565">
        <v>0</v>
      </c>
      <c r="N39" s="565">
        <v>0</v>
      </c>
      <c r="O39" s="565">
        <v>0</v>
      </c>
      <c r="P39" s="565">
        <v>0</v>
      </c>
    </row>
    <row r="40" spans="2:16">
      <c r="B40" s="558" t="s">
        <v>106</v>
      </c>
      <c r="C40" s="559"/>
      <c r="D40" s="597">
        <f>D23+D30+D37+D39</f>
        <v>-136421</v>
      </c>
      <c r="E40" s="597">
        <f>E23+E30+E37+E39</f>
        <v>173796</v>
      </c>
      <c r="F40" s="597">
        <f>F23+F30+F37+F39</f>
        <v>-189060</v>
      </c>
      <c r="G40" s="597">
        <f>G23+G30+G37+G39</f>
        <v>-5315</v>
      </c>
      <c r="H40" s="598">
        <f>H23+H30+H37+H39</f>
        <v>-22939</v>
      </c>
      <c r="I40" s="597">
        <f>I23+I30+I37</f>
        <v>-18116</v>
      </c>
      <c r="J40" s="597">
        <f>J23+J30+J37</f>
        <v>-26259</v>
      </c>
      <c r="K40" s="578">
        <f t="shared" ref="K40" si="13">K23+K30+K37+K39</f>
        <v>-31045</v>
      </c>
      <c r="L40" s="577">
        <f t="shared" ref="L40" si="14">L23+L30+L37+L39</f>
        <v>69653.461503838655</v>
      </c>
      <c r="M40" s="577">
        <f t="shared" ref="M40" si="15">M23+M30+M37+M39</f>
        <v>384476.50397918548</v>
      </c>
      <c r="N40" s="577">
        <f t="shared" ref="N40" si="16">N23+N30+N37+N39</f>
        <v>390969.40865486261</v>
      </c>
      <c r="O40" s="577">
        <f t="shared" ref="O40" si="17">O23+O30+O37+O39</f>
        <v>406477.66108403658</v>
      </c>
      <c r="P40" s="577">
        <f t="shared" ref="P40" si="18">P23+P30+P37+P39</f>
        <v>404341.82242855954</v>
      </c>
    </row>
    <row r="41" spans="2:16">
      <c r="B41" s="563"/>
      <c r="C41" s="564"/>
      <c r="D41" s="586"/>
      <c r="E41" s="587"/>
      <c r="F41" s="586"/>
      <c r="G41" s="586"/>
      <c r="H41" s="588"/>
      <c r="I41" s="589"/>
      <c r="J41" s="589"/>
      <c r="K41" s="511"/>
      <c r="L41" s="510"/>
      <c r="M41" s="510"/>
      <c r="N41" s="510"/>
      <c r="O41" s="510"/>
      <c r="P41" s="510"/>
    </row>
    <row r="42" spans="2:16" ht="17" thickBot="1">
      <c r="B42" s="581" t="s">
        <v>107</v>
      </c>
      <c r="C42" s="582"/>
      <c r="D42" s="596">
        <v>358260</v>
      </c>
      <c r="E42" s="583">
        <f>D43</f>
        <v>221839</v>
      </c>
      <c r="F42" s="584">
        <f>E43</f>
        <v>395635</v>
      </c>
      <c r="G42" s="584">
        <f>F43</f>
        <v>206575</v>
      </c>
      <c r="H42" s="585">
        <f>G43</f>
        <v>201260</v>
      </c>
      <c r="I42" s="594">
        <v>224744</v>
      </c>
      <c r="J42" s="595">
        <v>209129</v>
      </c>
      <c r="K42" s="530">
        <f t="shared" ref="K42" si="19">H42+J42-I42</f>
        <v>185645</v>
      </c>
      <c r="L42" s="526">
        <f>H43</f>
        <v>178321</v>
      </c>
      <c r="M42" s="526">
        <f>L43</f>
        <v>247974.46150383865</v>
      </c>
      <c r="N42" s="526">
        <f t="shared" ref="N42:P42" si="20">M43</f>
        <v>632450.96548302413</v>
      </c>
      <c r="O42" s="526">
        <f t="shared" si="20"/>
        <v>1023420.3741378868</v>
      </c>
      <c r="P42" s="526">
        <f t="shared" si="20"/>
        <v>1429898.0352219234</v>
      </c>
    </row>
    <row r="43" spans="2:16" ht="17" thickTop="1">
      <c r="B43" s="558" t="s">
        <v>108</v>
      </c>
      <c r="C43" s="559"/>
      <c r="D43" s="560">
        <f>D40+D42</f>
        <v>221839</v>
      </c>
      <c r="E43" s="560">
        <f>E40+E42</f>
        <v>395635</v>
      </c>
      <c r="F43" s="560">
        <f>F40+F42</f>
        <v>206575</v>
      </c>
      <c r="G43" s="560">
        <f>G40+G42</f>
        <v>201260</v>
      </c>
      <c r="H43" s="561">
        <f>H40+H42</f>
        <v>178321</v>
      </c>
      <c r="I43" s="560">
        <f>I40+I42+I39</f>
        <v>206237</v>
      </c>
      <c r="J43" s="560">
        <f>J40+J42+J39</f>
        <v>182516</v>
      </c>
      <c r="K43" s="561">
        <f t="shared" ref="K43" si="21">K40+K42</f>
        <v>154600</v>
      </c>
      <c r="L43" s="560">
        <f>L42+L40</f>
        <v>247974.46150383865</v>
      </c>
      <c r="M43" s="560">
        <f t="shared" ref="M43:P43" si="22">M42+M40</f>
        <v>632450.96548302413</v>
      </c>
      <c r="N43" s="560">
        <f t="shared" si="22"/>
        <v>1023420.3741378868</v>
      </c>
      <c r="O43" s="560">
        <f t="shared" si="22"/>
        <v>1429898.0352219234</v>
      </c>
      <c r="P43" s="560">
        <f t="shared" si="22"/>
        <v>1834239.857650483</v>
      </c>
    </row>
    <row r="44" spans="2:16">
      <c r="B44" s="563"/>
      <c r="C44" s="564"/>
      <c r="D44" s="565"/>
      <c r="E44" s="566"/>
      <c r="F44" s="565"/>
      <c r="G44" s="565"/>
      <c r="H44" s="567"/>
      <c r="I44" s="510"/>
      <c r="J44" s="510"/>
      <c r="K44" s="511"/>
      <c r="L44" s="510"/>
      <c r="M44" s="510"/>
      <c r="N44" s="510"/>
      <c r="O44" s="510"/>
      <c r="P44" s="510"/>
    </row>
    <row r="45" spans="2:16">
      <c r="B45" s="563" t="s">
        <v>109</v>
      </c>
      <c r="C45" s="564"/>
      <c r="D45" s="569"/>
      <c r="E45" s="566"/>
      <c r="F45" s="570"/>
      <c r="G45" s="569"/>
      <c r="H45" s="571"/>
      <c r="I45" s="510"/>
      <c r="J45" s="510"/>
      <c r="K45" s="511"/>
      <c r="L45" s="510"/>
      <c r="M45" s="510"/>
      <c r="N45" s="510"/>
      <c r="O45" s="510"/>
      <c r="P45" s="510"/>
    </row>
    <row r="46" spans="2:16">
      <c r="B46" s="572" t="s">
        <v>110</v>
      </c>
      <c r="C46" s="564"/>
      <c r="D46" s="569"/>
      <c r="E46" s="566"/>
      <c r="F46" s="570"/>
      <c r="G46" s="569"/>
      <c r="H46" s="571"/>
      <c r="I46" s="510"/>
      <c r="J46" s="510"/>
      <c r="K46" s="511"/>
      <c r="L46" s="510"/>
      <c r="M46" s="510"/>
      <c r="N46" s="510"/>
      <c r="O46" s="510"/>
      <c r="P46" s="510"/>
    </row>
    <row r="47" spans="2:16">
      <c r="B47" s="573" t="s">
        <v>111</v>
      </c>
      <c r="C47" s="564"/>
      <c r="D47" s="586"/>
      <c r="E47" s="587"/>
      <c r="F47" s="586">
        <v>111632</v>
      </c>
      <c r="G47" s="586">
        <v>50759</v>
      </c>
      <c r="H47" s="588">
        <v>55164</v>
      </c>
      <c r="I47" s="586">
        <v>0</v>
      </c>
      <c r="J47" s="586">
        <v>0</v>
      </c>
      <c r="K47" s="567">
        <f>H47+J47-I47</f>
        <v>55164</v>
      </c>
      <c r="L47" s="565">
        <v>0</v>
      </c>
      <c r="M47" s="565">
        <v>0</v>
      </c>
      <c r="N47" s="565">
        <v>0</v>
      </c>
      <c r="O47" s="565">
        <v>0</v>
      </c>
      <c r="P47" s="565">
        <v>0</v>
      </c>
    </row>
    <row r="48" spans="2:16">
      <c r="B48" s="573" t="s">
        <v>112</v>
      </c>
      <c r="C48" s="564"/>
      <c r="D48" s="586"/>
      <c r="E48" s="587"/>
      <c r="F48" s="586">
        <v>57255</v>
      </c>
      <c r="G48" s="586">
        <v>17075</v>
      </c>
      <c r="H48" s="588">
        <v>27559</v>
      </c>
      <c r="I48" s="586">
        <v>0</v>
      </c>
      <c r="J48" s="586">
        <v>0</v>
      </c>
      <c r="K48" s="567">
        <f t="shared" ref="K48:K49" si="23">H48+J48-I48</f>
        <v>27559</v>
      </c>
      <c r="L48" s="565">
        <v>0</v>
      </c>
      <c r="M48" s="565">
        <v>0</v>
      </c>
      <c r="N48" s="565">
        <v>0</v>
      </c>
      <c r="O48" s="565">
        <v>0</v>
      </c>
      <c r="P48" s="565">
        <v>0</v>
      </c>
    </row>
    <row r="49" spans="2:16">
      <c r="B49" s="573" t="s">
        <v>113</v>
      </c>
      <c r="C49" s="564"/>
      <c r="D49" s="586"/>
      <c r="E49" s="587"/>
      <c r="F49" s="586">
        <v>0</v>
      </c>
      <c r="G49" s="586">
        <v>0</v>
      </c>
      <c r="H49" s="588">
        <v>62120</v>
      </c>
      <c r="I49" s="586">
        <v>0</v>
      </c>
      <c r="J49" s="586">
        <v>0</v>
      </c>
      <c r="K49" s="567">
        <f t="shared" si="23"/>
        <v>62120</v>
      </c>
      <c r="L49" s="565">
        <v>0</v>
      </c>
      <c r="M49" s="565">
        <v>0</v>
      </c>
      <c r="N49" s="565">
        <v>0</v>
      </c>
      <c r="O49" s="565">
        <v>0</v>
      </c>
      <c r="P49" s="565">
        <v>0</v>
      </c>
    </row>
    <row r="50" spans="2:16">
      <c r="B50" s="27"/>
      <c r="C50" s="27"/>
      <c r="D50" s="27"/>
      <c r="E50" s="27"/>
      <c r="F50" s="27"/>
      <c r="G50" s="27"/>
      <c r="H50" s="27"/>
    </row>
    <row r="51" spans="2:16">
      <c r="B51" s="30"/>
    </row>
  </sheetData>
  <pageMargins left="0.7" right="0.7" top="0.75" bottom="0.75" header="0.3" footer="0.3"/>
  <ignoredErrors>
    <ignoredError sqref="L12:N16 L27:O3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E0B5-2209-C44D-A191-900DB6768EE9}">
  <sheetPr codeName="Sheet13"/>
  <dimension ref="A1:R37"/>
  <sheetViews>
    <sheetView showGridLines="0" zoomScale="86" workbookViewId="0">
      <selection activeCell="D37" sqref="D37"/>
    </sheetView>
  </sheetViews>
  <sheetFormatPr baseColWidth="10" defaultRowHeight="16"/>
  <cols>
    <col min="1" max="1" width="1.1640625" customWidth="1"/>
    <col min="2" max="2" width="32.83203125" customWidth="1"/>
    <col min="3" max="8" width="16.1640625" customWidth="1"/>
    <col min="9" max="9" width="1.1640625" customWidth="1"/>
    <col min="10" max="14" width="16.1640625" customWidth="1"/>
  </cols>
  <sheetData>
    <row r="1" spans="1:18" ht="23">
      <c r="A1" s="182"/>
      <c r="B1" s="421" t="str">
        <f>IS!B1</f>
        <v>Urban Outfitters Inc. (Nasdaq: URBN)</v>
      </c>
      <c r="C1" s="202"/>
      <c r="D1" s="202"/>
      <c r="E1" s="202"/>
      <c r="F1" s="202"/>
      <c r="G1" s="202"/>
      <c r="H1" s="202"/>
      <c r="I1" s="202"/>
      <c r="J1" s="219"/>
      <c r="K1" s="219"/>
      <c r="L1" s="219"/>
      <c r="M1" s="219"/>
      <c r="N1" s="201"/>
      <c r="O1" s="182"/>
      <c r="P1" s="182"/>
      <c r="Q1" s="182"/>
      <c r="R1" s="182"/>
    </row>
    <row r="2" spans="1:18" ht="18">
      <c r="A2" s="182"/>
      <c r="B2" s="202" t="s">
        <v>431</v>
      </c>
      <c r="C2" s="202"/>
      <c r="D2" s="220"/>
      <c r="E2" s="220"/>
      <c r="F2" s="220"/>
      <c r="G2" s="220"/>
      <c r="H2" s="220"/>
      <c r="I2" s="220"/>
      <c r="J2" s="219"/>
      <c r="K2" s="219"/>
      <c r="L2" s="219"/>
      <c r="M2" s="219"/>
      <c r="N2" s="201"/>
      <c r="O2" s="182"/>
      <c r="P2" s="182"/>
      <c r="Q2" s="182"/>
      <c r="R2" s="182"/>
    </row>
    <row r="3" spans="1:18">
      <c r="A3" s="182"/>
      <c r="B3" s="203" t="s">
        <v>460</v>
      </c>
      <c r="C3" s="203"/>
      <c r="D3" s="203"/>
      <c r="E3" s="203"/>
      <c r="F3" s="203"/>
      <c r="G3" s="203"/>
      <c r="H3" s="203"/>
      <c r="I3" s="203"/>
      <c r="J3" s="219"/>
      <c r="K3" s="219"/>
      <c r="L3" s="219"/>
      <c r="M3" s="219"/>
      <c r="N3" s="201"/>
      <c r="O3" s="182"/>
      <c r="P3" s="182"/>
      <c r="Q3" s="182"/>
      <c r="R3" s="182"/>
    </row>
    <row r="4" spans="1:18">
      <c r="A4" s="181"/>
      <c r="B4" s="181"/>
      <c r="C4" s="181"/>
      <c r="D4" s="181"/>
      <c r="E4" s="181"/>
      <c r="F4" s="181"/>
      <c r="G4" s="181"/>
      <c r="H4" s="181"/>
      <c r="I4" s="181"/>
      <c r="J4" s="214"/>
      <c r="K4" s="214"/>
      <c r="L4" s="214"/>
      <c r="M4" s="214"/>
      <c r="N4" s="183"/>
      <c r="O4" s="183"/>
      <c r="P4" s="183"/>
      <c r="Q4" s="183"/>
      <c r="R4" s="181"/>
    </row>
    <row r="5" spans="1:18">
      <c r="A5" s="181"/>
      <c r="B5" s="181"/>
      <c r="C5" s="861" t="s">
        <v>259</v>
      </c>
      <c r="D5" s="861"/>
      <c r="E5" s="861"/>
      <c r="F5" s="861"/>
      <c r="G5" s="861"/>
      <c r="H5" s="243"/>
      <c r="I5" s="245"/>
      <c r="J5" s="860" t="s">
        <v>245</v>
      </c>
      <c r="K5" s="860"/>
      <c r="L5" s="860"/>
      <c r="M5" s="860"/>
      <c r="N5" s="860"/>
      <c r="O5" s="181"/>
      <c r="P5" s="181"/>
      <c r="Q5" s="181"/>
      <c r="R5" s="181"/>
    </row>
    <row r="6" spans="1:18">
      <c r="A6" s="193"/>
      <c r="B6" s="400"/>
      <c r="C6" s="417" t="str">
        <f>IS!J8</f>
        <v>FY2021A</v>
      </c>
      <c r="D6" s="417" t="str">
        <f>IS!K8</f>
        <v>FY2022A</v>
      </c>
      <c r="E6" s="417" t="str">
        <f>IS!L8</f>
        <v>FY2023A</v>
      </c>
      <c r="F6" s="417" t="str">
        <f>IS!M8</f>
        <v>FY2024A</v>
      </c>
      <c r="G6" s="417" t="str">
        <f>IS!N8</f>
        <v>FY2025A</v>
      </c>
      <c r="H6" s="417" t="s">
        <v>274</v>
      </c>
      <c r="I6" s="245"/>
      <c r="J6" s="418" t="str">
        <f>IS!T8</f>
        <v>FY2026E</v>
      </c>
      <c r="K6" s="419" t="str">
        <f>IS!U8</f>
        <v>FY2027E</v>
      </c>
      <c r="L6" s="419" t="str">
        <f>IS!V8</f>
        <v>FY2028E</v>
      </c>
      <c r="M6" s="419" t="str">
        <f>IS!W8</f>
        <v>FY2029E</v>
      </c>
      <c r="N6" s="419" t="str">
        <f>IS!X8</f>
        <v>FY2030E</v>
      </c>
      <c r="O6" s="181"/>
      <c r="P6" s="181"/>
      <c r="Q6" s="181"/>
      <c r="R6" s="183"/>
    </row>
    <row r="7" spans="1:18">
      <c r="A7" s="181"/>
      <c r="B7" s="397" t="s">
        <v>166</v>
      </c>
      <c r="C7" s="659">
        <f>IS!J11</f>
        <v>3983789</v>
      </c>
      <c r="D7" s="659">
        <f>IS!K11</f>
        <v>3449749</v>
      </c>
      <c r="E7" s="659">
        <f>IS!L11</f>
        <v>4548763</v>
      </c>
      <c r="F7" s="659">
        <f>IS!M11</f>
        <v>4795244</v>
      </c>
      <c r="G7" s="659">
        <f>IS!N11</f>
        <v>5153237</v>
      </c>
      <c r="H7" s="659">
        <f>IS!R11</f>
        <v>5233918</v>
      </c>
      <c r="I7" s="245"/>
      <c r="J7" s="660">
        <f>IS!T11</f>
        <v>5589824.4240000006</v>
      </c>
      <c r="K7" s="661">
        <f>IS!U11</f>
        <v>5947573.187136001</v>
      </c>
      <c r="L7" s="661">
        <f>IS!V11</f>
        <v>6304427.5783641618</v>
      </c>
      <c r="M7" s="661">
        <f>IS!W11</f>
        <v>6670084.3779092832</v>
      </c>
      <c r="N7" s="659">
        <f>IS!X11</f>
        <v>7030268.9343163846</v>
      </c>
      <c r="O7" s="181"/>
      <c r="P7" s="181"/>
      <c r="Q7" s="181"/>
      <c r="R7" s="181"/>
    </row>
    <row r="8" spans="1:18">
      <c r="A8" s="181"/>
      <c r="B8" s="397" t="s">
        <v>432</v>
      </c>
      <c r="C8" s="659">
        <f>IS!J15</f>
        <v>2743963</v>
      </c>
      <c r="D8" s="659">
        <f>IS!K15</f>
        <v>2587843</v>
      </c>
      <c r="E8" s="659">
        <f>IS!L15</f>
        <v>3054813</v>
      </c>
      <c r="F8" s="659">
        <f>IS!M15</f>
        <v>3368028</v>
      </c>
      <c r="G8" s="659">
        <f>IS!N15</f>
        <v>3437833</v>
      </c>
      <c r="H8" s="659">
        <f>IS!R15</f>
        <v>3475602</v>
      </c>
      <c r="I8" s="245"/>
      <c r="J8" s="662">
        <f>IS!T15</f>
        <v>3745182.3640800007</v>
      </c>
      <c r="K8" s="659">
        <f>IS!U15</f>
        <v>3955136.1694454406</v>
      </c>
      <c r="L8" s="659">
        <f>IS!V15</f>
        <v>4160922.2017203472</v>
      </c>
      <c r="M8" s="659">
        <f>IS!W15</f>
        <v>4368905.267530581</v>
      </c>
      <c r="N8" s="659">
        <f>IS!X15</f>
        <v>4569674.8073056499</v>
      </c>
      <c r="O8" s="181"/>
      <c r="P8" s="181"/>
      <c r="Q8" s="181"/>
      <c r="R8" s="181"/>
    </row>
    <row r="9" spans="1:18">
      <c r="A9" s="181"/>
      <c r="B9" s="397"/>
      <c r="C9" s="663"/>
      <c r="D9" s="663"/>
      <c r="E9" s="663"/>
      <c r="F9" s="663"/>
      <c r="G9" s="663"/>
      <c r="H9" s="663"/>
      <c r="I9" s="245"/>
      <c r="J9" s="664"/>
      <c r="K9" s="665"/>
      <c r="L9" s="665"/>
      <c r="M9" s="665"/>
      <c r="N9" s="665"/>
      <c r="O9" s="181"/>
      <c r="P9" s="181"/>
      <c r="Q9" s="181"/>
      <c r="R9" s="181"/>
    </row>
    <row r="10" spans="1:18">
      <c r="A10" s="181"/>
      <c r="B10" s="416" t="s">
        <v>377</v>
      </c>
      <c r="C10" s="666"/>
      <c r="D10" s="666"/>
      <c r="E10" s="666"/>
      <c r="F10" s="666"/>
      <c r="G10" s="666"/>
      <c r="H10" s="666"/>
      <c r="I10" s="245"/>
      <c r="J10" s="667"/>
      <c r="K10" s="668"/>
      <c r="L10" s="668"/>
      <c r="M10" s="668"/>
      <c r="N10" s="668"/>
      <c r="O10" s="181"/>
      <c r="P10" s="181"/>
      <c r="Q10" s="181"/>
      <c r="R10" s="181"/>
    </row>
    <row r="11" spans="1:18">
      <c r="A11" s="181"/>
      <c r="B11" s="415" t="s">
        <v>433</v>
      </c>
      <c r="C11" s="665">
        <f>BS!D12</f>
        <v>88288</v>
      </c>
      <c r="D11" s="665">
        <f>BS!E12</f>
        <v>89952</v>
      </c>
      <c r="E11" s="665">
        <f>BS!F12</f>
        <v>63760</v>
      </c>
      <c r="F11" s="665">
        <f>BS!G12</f>
        <v>70339</v>
      </c>
      <c r="G11" s="665">
        <f>BS!H12</f>
        <v>67008</v>
      </c>
      <c r="H11" s="665">
        <f>BS!I12</f>
        <v>67008</v>
      </c>
      <c r="I11" s="245"/>
      <c r="J11" s="669">
        <f>J7/365*J29</f>
        <v>88824.607285479462</v>
      </c>
      <c r="K11" s="670">
        <f t="shared" ref="K11:N11" si="0">K7/365*K29</f>
        <v>94509.382151750149</v>
      </c>
      <c r="L11" s="670">
        <f t="shared" si="0"/>
        <v>100179.94508085516</v>
      </c>
      <c r="M11" s="670">
        <f t="shared" si="0"/>
        <v>105990.38189554478</v>
      </c>
      <c r="N11" s="665">
        <f t="shared" si="0"/>
        <v>111713.8625179042</v>
      </c>
      <c r="O11" s="181"/>
      <c r="P11" s="181"/>
      <c r="Q11" s="181"/>
      <c r="R11" s="181"/>
    </row>
    <row r="12" spans="1:18">
      <c r="A12" s="181"/>
      <c r="B12" s="415" t="s">
        <v>434</v>
      </c>
      <c r="C12" s="665">
        <f>BS!D13</f>
        <v>409534</v>
      </c>
      <c r="D12" s="665">
        <f>BS!E13</f>
        <v>389618</v>
      </c>
      <c r="E12" s="665">
        <f>BS!F13</f>
        <v>569699</v>
      </c>
      <c r="F12" s="665">
        <f>BS!G13</f>
        <v>587510</v>
      </c>
      <c r="G12" s="665">
        <f>BS!H13</f>
        <v>550242</v>
      </c>
      <c r="H12" s="665">
        <f>BS!I13</f>
        <v>550242</v>
      </c>
      <c r="I12" s="245"/>
      <c r="J12" s="664">
        <f>J8/365*J30</f>
        <v>718254.15201534261</v>
      </c>
      <c r="K12" s="665">
        <f t="shared" ref="K12:N12" si="1">K8/365*K30</f>
        <v>758519.26537309831</v>
      </c>
      <c r="L12" s="665">
        <f t="shared" si="1"/>
        <v>797985.07978198444</v>
      </c>
      <c r="M12" s="665">
        <f t="shared" si="1"/>
        <v>837872.24308805668</v>
      </c>
      <c r="N12" s="665">
        <f t="shared" si="1"/>
        <v>876375.99044217949</v>
      </c>
      <c r="O12" s="181"/>
      <c r="P12" s="181"/>
      <c r="Q12" s="181"/>
      <c r="R12" s="181"/>
    </row>
    <row r="13" spans="1:18">
      <c r="A13" s="181"/>
      <c r="B13" s="415" t="s">
        <v>435</v>
      </c>
      <c r="C13" s="668">
        <f>BS!D14</f>
        <v>122282</v>
      </c>
      <c r="D13" s="668">
        <f>BS!E14</f>
        <v>173432</v>
      </c>
      <c r="E13" s="668">
        <f>BS!F14</f>
        <v>206293</v>
      </c>
      <c r="F13" s="668">
        <f>BS!G14</f>
        <v>197232</v>
      </c>
      <c r="G13" s="668">
        <f>BS!H14</f>
        <v>200188</v>
      </c>
      <c r="H13" s="668">
        <f>BS!I14</f>
        <v>200188</v>
      </c>
      <c r="I13" s="245"/>
      <c r="J13" s="668">
        <f>J7*J31</f>
        <v>195643.85484000004</v>
      </c>
      <c r="K13" s="668">
        <f t="shared" ref="K13:N13" si="2">K7*K31</f>
        <v>208165.06154976005</v>
      </c>
      <c r="L13" s="668">
        <f t="shared" si="2"/>
        <v>220654.96524274567</v>
      </c>
      <c r="M13" s="668">
        <f t="shared" si="2"/>
        <v>233452.95322682493</v>
      </c>
      <c r="N13" s="668">
        <f t="shared" si="2"/>
        <v>246059.41270107348</v>
      </c>
      <c r="O13" s="181"/>
      <c r="P13" s="181"/>
      <c r="Q13" s="181"/>
      <c r="R13" s="181"/>
    </row>
    <row r="14" spans="1:18">
      <c r="A14" s="193"/>
      <c r="B14" s="400" t="s">
        <v>436</v>
      </c>
      <c r="C14" s="484">
        <f>SUM(C11:C13)</f>
        <v>620104</v>
      </c>
      <c r="D14" s="484">
        <f t="shared" ref="D14:H14" si="3">SUM(D11:D13)</f>
        <v>653002</v>
      </c>
      <c r="E14" s="484">
        <f t="shared" si="3"/>
        <v>839752</v>
      </c>
      <c r="F14" s="484">
        <f t="shared" si="3"/>
        <v>855081</v>
      </c>
      <c r="G14" s="484">
        <f t="shared" si="3"/>
        <v>817438</v>
      </c>
      <c r="H14" s="484">
        <f t="shared" si="3"/>
        <v>817438</v>
      </c>
      <c r="I14" s="245"/>
      <c r="J14" s="484">
        <f t="shared" ref="J14" si="4">SUM(J11:J13)</f>
        <v>1002722.6141408221</v>
      </c>
      <c r="K14" s="484">
        <f t="shared" ref="K14" si="5">SUM(K11:K13)</f>
        <v>1061193.7090746085</v>
      </c>
      <c r="L14" s="484">
        <f t="shared" ref="L14" si="6">SUM(L11:L13)</f>
        <v>1118819.9901055852</v>
      </c>
      <c r="M14" s="484">
        <f t="shared" ref="M14" si="7">SUM(M11:M13)</f>
        <v>1177315.5782104265</v>
      </c>
      <c r="N14" s="484">
        <f t="shared" ref="N14" si="8">SUM(N11:N13)</f>
        <v>1234149.2656611572</v>
      </c>
      <c r="O14" s="193"/>
      <c r="P14" s="193"/>
      <c r="Q14" s="193"/>
      <c r="R14" s="193"/>
    </row>
    <row r="15" spans="1:18">
      <c r="A15" s="181"/>
      <c r="B15" s="400"/>
      <c r="C15" s="485"/>
      <c r="D15" s="482"/>
      <c r="E15" s="485"/>
      <c r="F15" s="485"/>
      <c r="G15" s="481"/>
      <c r="H15" s="481"/>
      <c r="I15" s="245"/>
      <c r="J15" s="482"/>
      <c r="K15" s="482"/>
      <c r="L15" s="482"/>
      <c r="M15" s="482"/>
      <c r="N15" s="482"/>
      <c r="O15" s="181"/>
      <c r="P15" s="181"/>
      <c r="Q15" s="181"/>
      <c r="R15" s="181"/>
    </row>
    <row r="16" spans="1:18">
      <c r="A16" s="181"/>
      <c r="B16" s="416" t="s">
        <v>381</v>
      </c>
      <c r="C16" s="486"/>
      <c r="D16" s="486"/>
      <c r="E16" s="486"/>
      <c r="F16" s="486"/>
      <c r="G16" s="487"/>
      <c r="H16" s="487"/>
      <c r="I16" s="245"/>
      <c r="J16" s="483"/>
      <c r="K16" s="483"/>
      <c r="L16" s="483"/>
      <c r="M16" s="483"/>
      <c r="N16" s="483"/>
      <c r="O16" s="181"/>
      <c r="P16" s="181"/>
      <c r="Q16" s="181"/>
      <c r="R16" s="181"/>
    </row>
    <row r="17" spans="1:18">
      <c r="A17" s="181"/>
      <c r="B17" s="415" t="s">
        <v>437</v>
      </c>
      <c r="C17" s="665">
        <f>BS!D29</f>
        <v>167871</v>
      </c>
      <c r="D17" s="665">
        <f>BS!E29</f>
        <v>237386</v>
      </c>
      <c r="E17" s="665">
        <f>BS!F29</f>
        <v>304246</v>
      </c>
      <c r="F17" s="665">
        <f>BS!G29</f>
        <v>257620</v>
      </c>
      <c r="G17" s="665">
        <f>BS!H29</f>
        <v>253342</v>
      </c>
      <c r="H17" s="665">
        <f>BS!I29</f>
        <v>253342</v>
      </c>
      <c r="I17" s="245"/>
      <c r="J17" s="670">
        <f>J7/365*J34</f>
        <v>260347.98687123292</v>
      </c>
      <c r="K17" s="670">
        <f t="shared" ref="K17:N17" si="9">K7/365*K34</f>
        <v>277010.25803099183</v>
      </c>
      <c r="L17" s="670">
        <f t="shared" si="9"/>
        <v>293630.87351285137</v>
      </c>
      <c r="M17" s="670">
        <f t="shared" si="9"/>
        <v>310661.46417659678</v>
      </c>
      <c r="N17" s="665">
        <f t="shared" si="9"/>
        <v>327437.183242133</v>
      </c>
      <c r="O17" s="181"/>
      <c r="P17" s="181"/>
      <c r="Q17" s="181"/>
      <c r="R17" s="181"/>
    </row>
    <row r="18" spans="1:18">
      <c r="A18" s="181"/>
      <c r="B18" s="415" t="s">
        <v>438</v>
      </c>
      <c r="C18" s="665">
        <f>BS!D31+BS!D32</f>
        <v>249306</v>
      </c>
      <c r="D18" s="665">
        <f>SUM(BS!E31:E32)</f>
        <v>414043</v>
      </c>
      <c r="E18" s="665">
        <f>SUM(BS!F31:F32)</f>
        <v>440912</v>
      </c>
      <c r="F18" s="665">
        <f>SUM(BS!G31:G32)</f>
        <v>400082</v>
      </c>
      <c r="G18" s="665">
        <f>SUM(BS!H31:H32)</f>
        <v>514218</v>
      </c>
      <c r="H18" s="665">
        <f>SUM(BS!I31:I32)</f>
        <v>514218</v>
      </c>
      <c r="I18" s="245"/>
      <c r="J18" s="665">
        <f>J7*J35</f>
        <v>445565.71495652176</v>
      </c>
      <c r="K18" s="665">
        <f t="shared" ref="K18:N18" si="10">K7*K35</f>
        <v>474081.92071373918</v>
      </c>
      <c r="L18" s="665">
        <f t="shared" si="10"/>
        <v>502526.83595656359</v>
      </c>
      <c r="M18" s="665">
        <f t="shared" si="10"/>
        <v>531673.39244204422</v>
      </c>
      <c r="N18" s="665">
        <f t="shared" si="10"/>
        <v>560383.75563391461</v>
      </c>
      <c r="O18" s="181"/>
      <c r="P18" s="181"/>
      <c r="Q18" s="181"/>
      <c r="R18" s="181"/>
    </row>
    <row r="19" spans="1:18">
      <c r="A19" s="181"/>
      <c r="B19" s="415" t="s">
        <v>3637</v>
      </c>
      <c r="C19" s="668">
        <f>BS!D30</f>
        <v>221593</v>
      </c>
      <c r="D19" s="668">
        <f>BS!E30</f>
        <v>254703</v>
      </c>
      <c r="E19" s="668">
        <f>BS!F30</f>
        <v>236315</v>
      </c>
      <c r="F19" s="668">
        <f>BS!G30</f>
        <v>232672</v>
      </c>
      <c r="G19" s="668">
        <f>BS!H30</f>
        <v>226645</v>
      </c>
      <c r="H19" s="668">
        <f>BS!I30</f>
        <v>226645</v>
      </c>
      <c r="I19" s="245"/>
      <c r="J19" s="668">
        <f>J7*J36</f>
        <v>162023.89634782611</v>
      </c>
      <c r="K19" s="668">
        <f t="shared" ref="K19:N19" si="11">K7*K36</f>
        <v>172393.42571408697</v>
      </c>
      <c r="L19" s="668">
        <f t="shared" si="11"/>
        <v>182737.03125693224</v>
      </c>
      <c r="M19" s="668">
        <f t="shared" si="11"/>
        <v>193335.7790698343</v>
      </c>
      <c r="N19" s="668">
        <f t="shared" si="11"/>
        <v>203775.91113960536</v>
      </c>
      <c r="O19" s="181"/>
      <c r="P19" s="181"/>
      <c r="Q19" s="181"/>
      <c r="R19" s="181"/>
    </row>
    <row r="20" spans="1:18">
      <c r="A20" s="193"/>
      <c r="B20" s="400" t="s">
        <v>439</v>
      </c>
      <c r="C20" s="484">
        <f>SUM(C17:C19)</f>
        <v>638770</v>
      </c>
      <c r="D20" s="484">
        <f t="shared" ref="D20:J20" si="12">SUM(D17:D19)</f>
        <v>906132</v>
      </c>
      <c r="E20" s="484">
        <f t="shared" si="12"/>
        <v>981473</v>
      </c>
      <c r="F20" s="484">
        <f t="shared" si="12"/>
        <v>890374</v>
      </c>
      <c r="G20" s="484">
        <f t="shared" si="12"/>
        <v>994205</v>
      </c>
      <c r="H20" s="484">
        <f t="shared" si="12"/>
        <v>994205</v>
      </c>
      <c r="I20" s="245"/>
      <c r="J20" s="484">
        <f t="shared" si="12"/>
        <v>867937.59817558085</v>
      </c>
      <c r="K20" s="484">
        <f t="shared" ref="K20" si="13">SUM(K17:K19)</f>
        <v>923485.60445881798</v>
      </c>
      <c r="L20" s="484">
        <f t="shared" ref="L20" si="14">SUM(L17:L19)</f>
        <v>978894.74072634731</v>
      </c>
      <c r="M20" s="484">
        <f t="shared" ref="M20" si="15">SUM(M17:M19)</f>
        <v>1035670.6356884752</v>
      </c>
      <c r="N20" s="484">
        <f t="shared" ref="N20" si="16">SUM(N17:N19)</f>
        <v>1091596.8500156531</v>
      </c>
      <c r="O20" s="193"/>
      <c r="P20" s="193"/>
      <c r="Q20" s="193"/>
      <c r="R20" s="193"/>
    </row>
    <row r="21" spans="1:18">
      <c r="A21" s="181"/>
      <c r="B21" s="397"/>
      <c r="C21" s="486"/>
      <c r="D21" s="486"/>
      <c r="E21" s="486"/>
      <c r="F21" s="486"/>
      <c r="G21" s="487"/>
      <c r="H21" s="487"/>
      <c r="I21" s="245"/>
      <c r="J21" s="483"/>
      <c r="K21" s="483"/>
      <c r="L21" s="483"/>
      <c r="M21" s="483"/>
      <c r="N21" s="483"/>
      <c r="O21" s="181"/>
      <c r="P21" s="181"/>
      <c r="Q21" s="181"/>
      <c r="R21" s="181"/>
    </row>
    <row r="22" spans="1:18">
      <c r="A22" s="193"/>
      <c r="B22" s="400" t="s">
        <v>440</v>
      </c>
      <c r="C22" s="484">
        <f>C14-C20</f>
        <v>-18666</v>
      </c>
      <c r="D22" s="484">
        <f t="shared" ref="D22:N22" si="17">D14-D20</f>
        <v>-253130</v>
      </c>
      <c r="E22" s="484">
        <f t="shared" si="17"/>
        <v>-141721</v>
      </c>
      <c r="F22" s="484">
        <f t="shared" si="17"/>
        <v>-35293</v>
      </c>
      <c r="G22" s="484">
        <f t="shared" si="17"/>
        <v>-176767</v>
      </c>
      <c r="H22" s="484">
        <f>H14-H20</f>
        <v>-176767</v>
      </c>
      <c r="I22" s="245"/>
      <c r="J22" s="484">
        <f t="shared" si="17"/>
        <v>134785.01596524124</v>
      </c>
      <c r="K22" s="484">
        <f t="shared" si="17"/>
        <v>137708.10461579054</v>
      </c>
      <c r="L22" s="484">
        <f t="shared" si="17"/>
        <v>139925.24937923788</v>
      </c>
      <c r="M22" s="484">
        <f t="shared" si="17"/>
        <v>141644.94252195128</v>
      </c>
      <c r="N22" s="484">
        <f t="shared" si="17"/>
        <v>142552.41564550414</v>
      </c>
      <c r="O22" s="193"/>
      <c r="P22" s="193"/>
      <c r="Q22" s="193"/>
      <c r="R22" s="193"/>
    </row>
    <row r="23" spans="1:18">
      <c r="A23" s="181"/>
      <c r="B23" s="413" t="s">
        <v>441</v>
      </c>
      <c r="C23" s="414">
        <f>C22/C7</f>
        <v>-4.6854891160149296E-3</v>
      </c>
      <c r="D23" s="414">
        <f t="shared" ref="D23:H23" si="18">D22/D7</f>
        <v>-7.3376352888282592E-2</v>
      </c>
      <c r="E23" s="414">
        <f t="shared" si="18"/>
        <v>-3.115594283544779E-2</v>
      </c>
      <c r="F23" s="414">
        <f t="shared" si="18"/>
        <v>-7.3600008675262403E-3</v>
      </c>
      <c r="G23" s="414">
        <f t="shared" si="18"/>
        <v>-3.4302128933716806E-2</v>
      </c>
      <c r="H23" s="414">
        <f t="shared" si="18"/>
        <v>-3.3773360606719476E-2</v>
      </c>
      <c r="I23" s="245"/>
      <c r="J23" s="414">
        <v>0.114</v>
      </c>
      <c r="K23" s="414">
        <v>0.114</v>
      </c>
      <c r="L23" s="414">
        <v>0.114</v>
      </c>
      <c r="M23" s="414">
        <v>0.114</v>
      </c>
      <c r="N23" s="414">
        <v>0.114</v>
      </c>
      <c r="O23" s="186"/>
      <c r="P23" s="186"/>
      <c r="Q23" s="186"/>
      <c r="R23" s="181"/>
    </row>
    <row r="24" spans="1:18">
      <c r="A24" s="181"/>
      <c r="B24" s="181"/>
      <c r="C24" s="215"/>
      <c r="D24" s="215"/>
      <c r="E24" s="215"/>
      <c r="F24" s="215"/>
      <c r="G24" s="215"/>
      <c r="H24" s="215"/>
      <c r="I24" s="245"/>
      <c r="J24" s="215"/>
      <c r="K24" s="215"/>
      <c r="L24" s="215"/>
      <c r="M24" s="215"/>
      <c r="N24" s="215"/>
      <c r="O24" s="181"/>
      <c r="P24" s="181"/>
      <c r="Q24" s="181"/>
      <c r="R24" s="181"/>
    </row>
    <row r="25" spans="1:18">
      <c r="A25" s="217"/>
      <c r="B25" s="221" t="s">
        <v>3638</v>
      </c>
      <c r="C25" s="671" t="s">
        <v>23</v>
      </c>
      <c r="D25" s="244">
        <f>D22-C22</f>
        <v>-234464</v>
      </c>
      <c r="E25" s="244">
        <f t="shared" ref="E25:N25" si="19">E22-D22</f>
        <v>111409</v>
      </c>
      <c r="F25" s="244">
        <f t="shared" si="19"/>
        <v>106428</v>
      </c>
      <c r="G25" s="244">
        <f t="shared" si="19"/>
        <v>-141474</v>
      </c>
      <c r="H25" s="671" t="s">
        <v>23</v>
      </c>
      <c r="I25" s="245"/>
      <c r="J25" s="244">
        <f>J22-G22</f>
        <v>311552.01596524124</v>
      </c>
      <c r="K25" s="244">
        <f t="shared" si="19"/>
        <v>2923.0886505492963</v>
      </c>
      <c r="L25" s="244">
        <f t="shared" si="19"/>
        <v>2217.1447634473443</v>
      </c>
      <c r="M25" s="244">
        <f t="shared" si="19"/>
        <v>1719.6931427133968</v>
      </c>
      <c r="N25" s="244">
        <f t="shared" si="19"/>
        <v>907.47312355285976</v>
      </c>
      <c r="O25" s="217"/>
      <c r="P25" s="217"/>
      <c r="Q25" s="217"/>
      <c r="R25" s="217"/>
    </row>
    <row r="26" spans="1:18">
      <c r="A26" s="217"/>
      <c r="B26" s="217"/>
      <c r="C26" s="217"/>
      <c r="D26" s="217"/>
      <c r="E26" s="217"/>
      <c r="F26" s="217"/>
      <c r="G26" s="217"/>
      <c r="H26" s="217"/>
      <c r="I26" s="245"/>
      <c r="J26" s="217"/>
      <c r="K26" s="217"/>
      <c r="L26" s="217"/>
      <c r="M26" s="217"/>
      <c r="N26" s="217"/>
      <c r="O26" s="217"/>
      <c r="P26" s="217"/>
      <c r="Q26" s="217"/>
      <c r="R26" s="217"/>
    </row>
    <row r="27" spans="1:18">
      <c r="A27" s="181"/>
      <c r="B27" s="184" t="s">
        <v>442</v>
      </c>
      <c r="C27" s="181"/>
      <c r="D27" s="181"/>
      <c r="E27" s="181"/>
      <c r="F27" s="181"/>
      <c r="G27" s="181"/>
      <c r="H27" s="181"/>
      <c r="I27" s="245"/>
      <c r="J27" s="181"/>
      <c r="K27" s="181"/>
      <c r="L27" s="181"/>
      <c r="M27" s="181"/>
      <c r="N27" s="181"/>
      <c r="O27" s="181"/>
      <c r="P27" s="181"/>
      <c r="Q27" s="181"/>
      <c r="R27" s="181"/>
    </row>
    <row r="28" spans="1:18">
      <c r="A28" s="181"/>
      <c r="B28" s="672" t="s">
        <v>377</v>
      </c>
      <c r="C28" s="673"/>
      <c r="D28" s="673"/>
      <c r="E28" s="673"/>
      <c r="F28" s="673"/>
      <c r="G28" s="673"/>
      <c r="H28" s="673"/>
      <c r="I28" s="245"/>
      <c r="J28" s="673"/>
      <c r="K28" s="673"/>
      <c r="L28" s="673"/>
      <c r="M28" s="673"/>
      <c r="N28" s="673"/>
      <c r="O28" s="181"/>
      <c r="P28" s="181"/>
      <c r="Q28" s="181"/>
      <c r="R28" s="181"/>
    </row>
    <row r="29" spans="1:18">
      <c r="A29" s="181"/>
      <c r="B29" s="674" t="s">
        <v>443</v>
      </c>
      <c r="C29" s="675">
        <f>IFERROR(C11/C7*365,0)</f>
        <v>8.089062949870085</v>
      </c>
      <c r="D29" s="675">
        <f t="shared" ref="D29:G29" si="20">IFERROR(D11/D7*365,0)</f>
        <v>9.5173532915003385</v>
      </c>
      <c r="E29" s="675">
        <f t="shared" si="20"/>
        <v>5.1162041196694572</v>
      </c>
      <c r="F29" s="675">
        <f t="shared" si="20"/>
        <v>5.3539997130490127</v>
      </c>
      <c r="G29" s="675">
        <f t="shared" si="20"/>
        <v>4.7461275311032658</v>
      </c>
      <c r="H29" s="675">
        <f t="shared" ref="H29" si="21">IFERROR(H11/H7*365,0)</f>
        <v>4.6729658355365906</v>
      </c>
      <c r="I29" s="245"/>
      <c r="J29" s="675">
        <f>'AS2'!F9</f>
        <v>5.8</v>
      </c>
      <c r="K29" s="675">
        <f>'AS2'!G9</f>
        <v>5.8</v>
      </c>
      <c r="L29" s="675">
        <f>'AS2'!H9</f>
        <v>5.8</v>
      </c>
      <c r="M29" s="675">
        <f>'AS2'!I9</f>
        <v>5.8</v>
      </c>
      <c r="N29" s="675">
        <f>'AS2'!J9</f>
        <v>5.8</v>
      </c>
      <c r="O29" s="181"/>
      <c r="P29" s="181"/>
      <c r="Q29" s="181"/>
      <c r="R29" s="181"/>
    </row>
    <row r="30" spans="1:18">
      <c r="A30" s="181"/>
      <c r="B30" s="674" t="s">
        <v>444</v>
      </c>
      <c r="C30" s="676">
        <f>IFERROR(C12/C8*365,0)</f>
        <v>54.475920411463278</v>
      </c>
      <c r="D30" s="676">
        <f t="shared" ref="D30:G30" si="22">IFERROR(D12/D8*365,0)</f>
        <v>54.953322129665523</v>
      </c>
      <c r="E30" s="676">
        <f t="shared" si="22"/>
        <v>68.069677260113792</v>
      </c>
      <c r="F30" s="676">
        <f t="shared" si="22"/>
        <v>63.669645858051062</v>
      </c>
      <c r="G30" s="676">
        <f t="shared" si="22"/>
        <v>58.420036691718302</v>
      </c>
      <c r="H30" s="676">
        <f t="shared" ref="H30" si="23">IFERROR(H12/H8*365,0)</f>
        <v>57.785192320639702</v>
      </c>
      <c r="I30" s="245"/>
      <c r="J30" s="676">
        <f>'AS2'!F16</f>
        <v>70</v>
      </c>
      <c r="K30" s="676">
        <f>'AS2'!G16</f>
        <v>70</v>
      </c>
      <c r="L30" s="676">
        <f>'AS2'!H16</f>
        <v>70</v>
      </c>
      <c r="M30" s="676">
        <f>'AS2'!I16</f>
        <v>70</v>
      </c>
      <c r="N30" s="676">
        <f>'AS2'!J16</f>
        <v>70</v>
      </c>
      <c r="O30" s="181"/>
      <c r="P30" s="181"/>
      <c r="Q30" s="181"/>
      <c r="R30" s="181"/>
    </row>
    <row r="31" spans="1:18">
      <c r="A31" s="181"/>
      <c r="B31" s="674" t="s">
        <v>445</v>
      </c>
      <c r="C31" s="677">
        <f>IFERROR(C13/C7,0)</f>
        <v>3.0694898750912761E-2</v>
      </c>
      <c r="D31" s="677">
        <f t="shared" ref="D31:G31" si="24">IFERROR(D13/D7,0)</f>
        <v>5.0273802528821659E-2</v>
      </c>
      <c r="E31" s="677">
        <f t="shared" si="24"/>
        <v>4.5351450493243989E-2</v>
      </c>
      <c r="F31" s="677">
        <f t="shared" si="24"/>
        <v>4.1130753721812699E-2</v>
      </c>
      <c r="G31" s="677">
        <f t="shared" si="24"/>
        <v>3.8847039249310676E-2</v>
      </c>
      <c r="H31" s="677">
        <f t="shared" ref="H31" si="25">IFERROR(H13/H7,0)</f>
        <v>3.8248210996045411E-2</v>
      </c>
      <c r="I31" s="245"/>
      <c r="J31" s="677">
        <f>'AS2'!F23</f>
        <v>3.5000000000000003E-2</v>
      </c>
      <c r="K31" s="677">
        <f>'AS2'!G23</f>
        <v>3.5000000000000003E-2</v>
      </c>
      <c r="L31" s="677">
        <f>'AS2'!H23</f>
        <v>3.5000000000000003E-2</v>
      </c>
      <c r="M31" s="677">
        <f>'AS2'!I23</f>
        <v>3.5000000000000003E-2</v>
      </c>
      <c r="N31" s="677">
        <f>'AS2'!J23</f>
        <v>3.5000000000000003E-2</v>
      </c>
      <c r="O31" s="181"/>
      <c r="P31" s="181"/>
      <c r="Q31" s="181"/>
      <c r="R31" s="181"/>
    </row>
    <row r="32" spans="1:18">
      <c r="A32" s="181"/>
      <c r="B32" s="674"/>
      <c r="C32" s="678"/>
      <c r="D32" s="678"/>
      <c r="E32" s="678"/>
      <c r="F32" s="678"/>
      <c r="G32" s="679"/>
      <c r="H32" s="679"/>
      <c r="I32" s="245"/>
      <c r="J32" s="679"/>
      <c r="K32" s="679"/>
      <c r="L32" s="679"/>
      <c r="M32" s="679"/>
      <c r="N32" s="679"/>
      <c r="O32" s="181"/>
      <c r="P32" s="181"/>
      <c r="Q32" s="181"/>
      <c r="R32" s="181"/>
    </row>
    <row r="33" spans="1:18">
      <c r="A33" s="181"/>
      <c r="B33" s="672" t="s">
        <v>381</v>
      </c>
      <c r="C33" s="678"/>
      <c r="D33" s="678"/>
      <c r="E33" s="678"/>
      <c r="F33" s="678"/>
      <c r="G33" s="678"/>
      <c r="H33" s="678"/>
      <c r="I33" s="245"/>
      <c r="J33" s="673"/>
      <c r="K33" s="673"/>
      <c r="L33" s="673"/>
      <c r="M33" s="673"/>
      <c r="N33" s="673"/>
      <c r="O33" s="181"/>
      <c r="P33" s="181"/>
      <c r="Q33" s="181"/>
      <c r="R33" s="181"/>
    </row>
    <row r="34" spans="1:18">
      <c r="A34" s="181"/>
      <c r="B34" s="674" t="s">
        <v>446</v>
      </c>
      <c r="C34" s="676">
        <f>IFERROR(C17/C7*365,0)</f>
        <v>15.380562323958422</v>
      </c>
      <c r="D34" s="676">
        <f t="shared" ref="D34:G34" si="26">IFERROR(D17/D7*365,0)</f>
        <v>25.116578046692673</v>
      </c>
      <c r="E34" s="676">
        <f t="shared" si="26"/>
        <v>24.413184419588355</v>
      </c>
      <c r="F34" s="676">
        <f t="shared" si="26"/>
        <v>19.609283698598027</v>
      </c>
      <c r="G34" s="676">
        <f t="shared" si="26"/>
        <v>17.944028190436416</v>
      </c>
      <c r="H34" s="676">
        <f t="shared" ref="H34" si="27">IFERROR(H17/H7*365,0)</f>
        <v>17.667420467802515</v>
      </c>
      <c r="I34" s="245"/>
      <c r="J34" s="676">
        <f>'AS2'!F31</f>
        <v>17</v>
      </c>
      <c r="K34" s="676">
        <f>'AS2'!G31</f>
        <v>17</v>
      </c>
      <c r="L34" s="676">
        <f>'AS2'!H31</f>
        <v>17</v>
      </c>
      <c r="M34" s="676">
        <f>'AS2'!I31</f>
        <v>17</v>
      </c>
      <c r="N34" s="676">
        <f>'AS2'!J31</f>
        <v>17</v>
      </c>
      <c r="O34" s="181"/>
      <c r="P34" s="181"/>
      <c r="Q34" s="181"/>
      <c r="R34" s="181"/>
    </row>
    <row r="35" spans="1:18">
      <c r="A35" s="181"/>
      <c r="B35" s="674" t="s">
        <v>383</v>
      </c>
      <c r="C35" s="677">
        <f>IFERROR(C18/C7,0)</f>
        <v>6.2580121587764811E-2</v>
      </c>
      <c r="D35" s="677">
        <f t="shared" ref="D35:G35" si="28">IFERROR(D18/D7,0)</f>
        <v>0.12002119574496579</v>
      </c>
      <c r="E35" s="677">
        <f t="shared" si="28"/>
        <v>9.6930088465809278E-2</v>
      </c>
      <c r="F35" s="677">
        <f t="shared" si="28"/>
        <v>8.3433084948336303E-2</v>
      </c>
      <c r="G35" s="677">
        <f t="shared" si="28"/>
        <v>9.9785435833826389E-2</v>
      </c>
      <c r="H35" s="677">
        <f t="shared" ref="H35" si="29">IFERROR(H18/H7,0)</f>
        <v>9.8247240403842778E-2</v>
      </c>
      <c r="I35" s="245"/>
      <c r="J35" s="677">
        <f>'AS2'!F38</f>
        <v>7.9710144927536225E-2</v>
      </c>
      <c r="K35" s="677">
        <f>'AS2'!G38</f>
        <v>7.9710144927536225E-2</v>
      </c>
      <c r="L35" s="677">
        <f>'AS2'!H38</f>
        <v>7.9710144927536225E-2</v>
      </c>
      <c r="M35" s="677">
        <f>'AS2'!I38</f>
        <v>7.9710144927536225E-2</v>
      </c>
      <c r="N35" s="677">
        <f>'AS2'!J38</f>
        <v>7.9710144927536225E-2</v>
      </c>
      <c r="O35" s="181"/>
      <c r="P35" s="181"/>
      <c r="Q35" s="181"/>
      <c r="R35" s="181"/>
    </row>
    <row r="36" spans="1:18">
      <c r="A36" s="181"/>
      <c r="B36" s="674" t="s">
        <v>384</v>
      </c>
      <c r="C36" s="677">
        <f>IFERROR(C19/C7,0)</f>
        <v>5.5623678864518175E-2</v>
      </c>
      <c r="D36" s="677">
        <f t="shared" ref="D36:G36" si="30">IFERROR(D19/D7,0)</f>
        <v>7.3832328091116201E-2</v>
      </c>
      <c r="E36" s="677">
        <f t="shared" si="30"/>
        <v>5.1951486590969896E-2</v>
      </c>
      <c r="F36" s="677">
        <f t="shared" si="30"/>
        <v>4.8521409963705707E-2</v>
      </c>
      <c r="G36" s="677">
        <f t="shared" si="30"/>
        <v>4.3981093825104491E-2</v>
      </c>
      <c r="H36" s="677">
        <f t="shared" ref="H36" si="31">IFERROR(H19/H7,0)</f>
        <v>4.3303123969462266E-2</v>
      </c>
      <c r="I36" s="245"/>
      <c r="J36" s="677">
        <f>'AS2'!F45</f>
        <v>2.8985507246376812E-2</v>
      </c>
      <c r="K36" s="677">
        <f>'AS2'!G45</f>
        <v>2.8985507246376812E-2</v>
      </c>
      <c r="L36" s="677">
        <f>'AS2'!H45</f>
        <v>2.8985507246376812E-2</v>
      </c>
      <c r="M36" s="677">
        <f>'AS2'!I45</f>
        <v>2.8985507246376812E-2</v>
      </c>
      <c r="N36" s="677">
        <f>'AS2'!J45</f>
        <v>2.8985507246376812E-2</v>
      </c>
      <c r="O36" s="181"/>
      <c r="P36" s="181"/>
      <c r="Q36" s="181"/>
      <c r="R36" s="181"/>
    </row>
    <row r="37" spans="1:18">
      <c r="A37" s="181"/>
      <c r="B37" s="216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181"/>
      <c r="P37" s="181"/>
      <c r="Q37" s="181"/>
      <c r="R37" s="181"/>
    </row>
  </sheetData>
  <mergeCells count="2">
    <mergeCell ref="J5:N5"/>
    <mergeCell ref="C5:G5"/>
  </mergeCells>
  <pageMargins left="0.7" right="0.7" top="0.75" bottom="0.75" header="0.3" footer="0.3"/>
  <ignoredErrors>
    <ignoredError sqref="D18:G18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4FE7-593E-9E4D-95CD-04F156469451}">
  <sheetPr codeName="Sheet12"/>
  <dimension ref="A1:P37"/>
  <sheetViews>
    <sheetView showGridLines="0" zoomScale="112" workbookViewId="0">
      <selection activeCell="C34" sqref="C34"/>
    </sheetView>
  </sheetViews>
  <sheetFormatPr baseColWidth="10" defaultRowHeight="16"/>
  <cols>
    <col min="1" max="1" width="1.33203125" customWidth="1"/>
    <col min="2" max="5" width="16.6640625" customWidth="1"/>
    <col min="6" max="6" width="20.1640625" customWidth="1"/>
    <col min="7" max="12" width="16.6640625" customWidth="1"/>
  </cols>
  <sheetData>
    <row r="1" spans="1:16" ht="23">
      <c r="A1" s="181"/>
      <c r="B1" s="421" t="str">
        <f>NWC!B1</f>
        <v>Urban Outfitters Inc. (Nasdaq: URBN)</v>
      </c>
      <c r="C1" s="200"/>
      <c r="D1" s="201"/>
      <c r="E1" s="201"/>
      <c r="F1" s="201"/>
      <c r="G1" s="201"/>
      <c r="H1" s="201"/>
      <c r="I1" s="201"/>
      <c r="J1" s="201"/>
      <c r="K1" s="201"/>
      <c r="L1" s="201"/>
      <c r="M1" s="181"/>
      <c r="N1" s="181"/>
      <c r="O1" s="181"/>
      <c r="P1" s="181"/>
    </row>
    <row r="2" spans="1:16" ht="18">
      <c r="A2" s="181"/>
      <c r="B2" s="202" t="s">
        <v>401</v>
      </c>
      <c r="C2" s="202"/>
      <c r="D2" s="202"/>
      <c r="E2" s="202"/>
      <c r="F2" s="201"/>
      <c r="G2" s="201"/>
      <c r="H2" s="201"/>
      <c r="I2" s="201"/>
      <c r="J2" s="201"/>
      <c r="K2" s="201"/>
      <c r="L2" s="201"/>
      <c r="M2" s="181"/>
      <c r="N2" s="181"/>
      <c r="O2" s="181"/>
      <c r="P2" s="181"/>
    </row>
    <row r="3" spans="1:16">
      <c r="A3" s="181"/>
      <c r="B3" s="203" t="s">
        <v>460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82"/>
      <c r="N3" s="181"/>
      <c r="O3" s="181"/>
      <c r="P3" s="181"/>
    </row>
    <row r="4" spans="1:16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1"/>
      <c r="O4" s="181"/>
      <c r="P4" s="181"/>
    </row>
    <row r="5" spans="1:16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</row>
    <row r="6" spans="1:16">
      <c r="A6" s="183"/>
      <c r="B6" s="204" t="s">
        <v>402</v>
      </c>
      <c r="C6" s="204"/>
      <c r="D6" s="204"/>
      <c r="E6" s="183"/>
      <c r="F6" s="204" t="s">
        <v>403</v>
      </c>
      <c r="G6" s="204"/>
      <c r="H6" s="205"/>
      <c r="I6" s="204"/>
      <c r="J6" s="204"/>
      <c r="K6" s="204"/>
      <c r="L6" s="204"/>
      <c r="M6" s="183"/>
      <c r="N6" s="183"/>
      <c r="O6" s="183"/>
      <c r="P6" s="183"/>
    </row>
    <row r="7" spans="1:16">
      <c r="A7" s="183"/>
      <c r="B7" s="396" t="s">
        <v>404</v>
      </c>
      <c r="C7" s="396"/>
      <c r="D7" s="399"/>
      <c r="E7" s="183"/>
      <c r="F7" s="397"/>
      <c r="G7" s="408" t="s">
        <v>405</v>
      </c>
      <c r="H7" s="408" t="s">
        <v>406</v>
      </c>
      <c r="I7" s="408" t="s">
        <v>406</v>
      </c>
      <c r="J7" s="408" t="s">
        <v>407</v>
      </c>
      <c r="K7" s="408" t="s">
        <v>408</v>
      </c>
      <c r="L7" s="408" t="s">
        <v>409</v>
      </c>
      <c r="M7" s="183"/>
      <c r="N7" s="183"/>
      <c r="O7" s="183"/>
      <c r="P7" s="183"/>
    </row>
    <row r="8" spans="1:16">
      <c r="A8" s="183"/>
      <c r="B8" s="397" t="s">
        <v>410</v>
      </c>
      <c r="C8" s="397"/>
      <c r="D8" s="420">
        <f>IS!F57</f>
        <v>0.48615115407657455</v>
      </c>
      <c r="E8" s="183"/>
      <c r="F8" s="409" t="s">
        <v>411</v>
      </c>
      <c r="G8" s="410" t="s">
        <v>412</v>
      </c>
      <c r="H8" s="410" t="s">
        <v>413</v>
      </c>
      <c r="I8" s="410" t="s">
        <v>414</v>
      </c>
      <c r="J8" s="410" t="s">
        <v>55</v>
      </c>
      <c r="K8" s="410" t="s">
        <v>269</v>
      </c>
      <c r="L8" s="410" t="s">
        <v>415</v>
      </c>
      <c r="M8" s="183"/>
      <c r="N8" s="183"/>
      <c r="O8" s="183"/>
      <c r="P8" s="183"/>
    </row>
    <row r="9" spans="1:16">
      <c r="A9" s="183"/>
      <c r="B9" s="398" t="s">
        <v>416</v>
      </c>
      <c r="C9" s="398"/>
      <c r="D9" s="401">
        <f>1-D8</f>
        <v>0.51384884592342539</v>
      </c>
      <c r="E9" s="39"/>
      <c r="F9" s="399" t="s">
        <v>447</v>
      </c>
      <c r="G9" s="187">
        <v>1.48</v>
      </c>
      <c r="H9" s="188">
        <v>1821150</v>
      </c>
      <c r="I9" s="188">
        <v>2325037</v>
      </c>
      <c r="J9" s="407">
        <f>IFERROR(H9/I9,0)</f>
        <v>0.78327785751366541</v>
      </c>
      <c r="K9" s="189">
        <v>0.25</v>
      </c>
      <c r="L9" s="406">
        <f>IFERROR(G9/(1+(J9)*(1-K9)),0)</f>
        <v>0.93230789947003434</v>
      </c>
      <c r="M9" s="183"/>
      <c r="N9" s="190"/>
      <c r="O9" s="183"/>
      <c r="P9" s="183"/>
    </row>
    <row r="10" spans="1:16">
      <c r="A10" s="183"/>
      <c r="B10" s="398"/>
      <c r="C10" s="399"/>
      <c r="D10" s="401"/>
      <c r="E10" s="39"/>
      <c r="F10" s="399" t="s">
        <v>154</v>
      </c>
      <c r="G10" s="187">
        <v>1.46</v>
      </c>
      <c r="H10" s="191">
        <v>1924246</v>
      </c>
      <c r="I10" s="191">
        <v>4431796.74</v>
      </c>
      <c r="J10" s="407">
        <f t="shared" ref="J10:J13" si="0">IFERROR(H10/I10,0)</f>
        <v>0.43419094170821559</v>
      </c>
      <c r="K10" s="189">
        <v>0.25</v>
      </c>
      <c r="L10" s="406">
        <f t="shared" ref="L10:L13" si="1">IFERROR(G10/(1+(J10)*(1-K10)),0)</f>
        <v>1.1013521534921529</v>
      </c>
      <c r="M10" s="183"/>
      <c r="N10" s="192"/>
      <c r="O10" s="183"/>
      <c r="P10" s="183"/>
    </row>
    <row r="11" spans="1:16">
      <c r="A11" s="183"/>
      <c r="B11" s="399"/>
      <c r="C11" s="399"/>
      <c r="D11" s="399"/>
      <c r="E11" s="39"/>
      <c r="F11" s="399" t="s">
        <v>231</v>
      </c>
      <c r="G11" s="187">
        <v>1.1499999999999999</v>
      </c>
      <c r="H11" s="191">
        <v>4405000</v>
      </c>
      <c r="I11" s="191">
        <v>6363734.4000000004</v>
      </c>
      <c r="J11" s="407">
        <f t="shared" si="0"/>
        <v>0.69220362182306028</v>
      </c>
      <c r="K11" s="189">
        <v>0.25</v>
      </c>
      <c r="L11" s="406">
        <f t="shared" si="1"/>
        <v>0.7570009174258403</v>
      </c>
      <c r="M11" s="183"/>
      <c r="N11" s="192"/>
      <c r="O11" s="183"/>
      <c r="P11" s="183"/>
    </row>
    <row r="12" spans="1:16">
      <c r="A12" s="183"/>
      <c r="B12" s="396" t="s">
        <v>417</v>
      </c>
      <c r="C12" s="397"/>
      <c r="D12" s="397"/>
      <c r="E12" s="39"/>
      <c r="F12" s="399" t="s">
        <v>228</v>
      </c>
      <c r="G12" s="187">
        <v>2.37</v>
      </c>
      <c r="H12" s="191">
        <v>8621000</v>
      </c>
      <c r="I12" s="191">
        <v>7898880</v>
      </c>
      <c r="J12" s="407">
        <f t="shared" si="0"/>
        <v>1.091420555825636</v>
      </c>
      <c r="K12" s="189">
        <v>0.25</v>
      </c>
      <c r="L12" s="406">
        <f t="shared" si="1"/>
        <v>1.303225046520516</v>
      </c>
      <c r="M12" s="183"/>
      <c r="N12" s="192"/>
      <c r="O12" s="183"/>
      <c r="P12" s="183"/>
    </row>
    <row r="13" spans="1:16">
      <c r="A13" s="183"/>
      <c r="B13" s="397" t="s">
        <v>418</v>
      </c>
      <c r="C13" s="397"/>
      <c r="D13" s="185">
        <v>0</v>
      </c>
      <c r="E13" s="39"/>
      <c r="F13" s="399" t="s">
        <v>3663</v>
      </c>
      <c r="G13" s="187">
        <v>1.08</v>
      </c>
      <c r="H13" s="191">
        <v>15037767</v>
      </c>
      <c r="I13" s="191">
        <v>145145078.13</v>
      </c>
      <c r="J13" s="407">
        <f t="shared" si="0"/>
        <v>0.10360507702873217</v>
      </c>
      <c r="K13" s="189">
        <v>0.25</v>
      </c>
      <c r="L13" s="406">
        <f t="shared" si="1"/>
        <v>1.0021306338642331</v>
      </c>
      <c r="M13" s="183"/>
      <c r="N13" s="192"/>
      <c r="O13" s="183"/>
      <c r="P13" s="183"/>
    </row>
    <row r="14" spans="1:16">
      <c r="A14" s="183"/>
      <c r="B14" s="397" t="s">
        <v>269</v>
      </c>
      <c r="C14" s="397"/>
      <c r="D14" s="402">
        <f>IS!F17</f>
        <v>0.23</v>
      </c>
      <c r="E14" s="183"/>
      <c r="F14" s="397"/>
      <c r="G14" s="404"/>
      <c r="H14" s="405"/>
      <c r="I14" s="405"/>
      <c r="J14" s="401"/>
      <c r="K14" s="402"/>
      <c r="L14" s="406"/>
      <c r="M14" s="183"/>
      <c r="N14" s="183"/>
      <c r="O14" s="183"/>
      <c r="P14" s="183"/>
    </row>
    <row r="15" spans="1:16">
      <c r="A15" s="183"/>
      <c r="B15" s="400" t="s">
        <v>419</v>
      </c>
      <c r="C15" s="400"/>
      <c r="D15" s="194">
        <f>IFERROR(D13*(1-D14),0)</f>
        <v>0</v>
      </c>
      <c r="E15" s="183"/>
      <c r="F15" s="206" t="s">
        <v>420</v>
      </c>
      <c r="G15" s="207">
        <f>AVERAGE(G9:G13)</f>
        <v>1.508</v>
      </c>
      <c r="H15" s="208"/>
      <c r="I15" s="208"/>
      <c r="J15" s="207">
        <f>AVERAGE(J9:J13)</f>
        <v>0.62093961077986193</v>
      </c>
      <c r="K15" s="208"/>
      <c r="L15" s="209">
        <f>AVERAGE(L9:L13)</f>
        <v>1.0192033301545553</v>
      </c>
      <c r="M15" s="183"/>
      <c r="N15" s="183"/>
      <c r="O15" s="183"/>
      <c r="P15" s="183"/>
    </row>
    <row r="16" spans="1:16">
      <c r="A16" s="183"/>
      <c r="B16" s="400"/>
      <c r="C16" s="400"/>
      <c r="D16" s="399"/>
      <c r="E16" s="183"/>
      <c r="F16" s="210" t="s">
        <v>170</v>
      </c>
      <c r="G16" s="211">
        <f>MEDIAN(G9:G13)</f>
        <v>1.46</v>
      </c>
      <c r="H16" s="212"/>
      <c r="I16" s="212"/>
      <c r="J16" s="211">
        <f>MEDIAN(J9:J13)</f>
        <v>0.69220362182306028</v>
      </c>
      <c r="K16" s="212"/>
      <c r="L16" s="213">
        <f>MEDIAN(L9:L13)</f>
        <v>1.0021306338642331</v>
      </c>
      <c r="M16" s="183"/>
      <c r="N16" s="183"/>
      <c r="O16" s="183"/>
      <c r="P16" s="183"/>
    </row>
    <row r="17" spans="1:16">
      <c r="A17" s="183"/>
      <c r="B17" s="399"/>
      <c r="C17" s="399"/>
      <c r="D17" s="399"/>
      <c r="E17" s="183"/>
      <c r="F17" s="399"/>
      <c r="G17" s="399"/>
      <c r="H17" s="399"/>
      <c r="I17" s="399"/>
      <c r="J17" s="399"/>
      <c r="K17" s="399"/>
      <c r="L17" s="399"/>
      <c r="M17" s="183"/>
      <c r="N17" s="183"/>
      <c r="O17" s="183"/>
      <c r="P17" s="183"/>
    </row>
    <row r="18" spans="1:16">
      <c r="A18" s="183"/>
      <c r="B18" s="396" t="s">
        <v>421</v>
      </c>
      <c r="C18" s="397"/>
      <c r="D18" s="397"/>
      <c r="E18" s="181"/>
      <c r="F18" s="204" t="s">
        <v>427</v>
      </c>
      <c r="G18" s="204"/>
      <c r="H18" s="204"/>
      <c r="I18" s="204"/>
      <c r="J18" s="204"/>
      <c r="K18" s="204"/>
      <c r="L18" s="204"/>
      <c r="M18" s="183"/>
      <c r="N18" s="183"/>
      <c r="O18" s="183"/>
      <c r="P18" s="183"/>
    </row>
    <row r="19" spans="1:16">
      <c r="A19" s="183"/>
      <c r="B19" s="397" t="s">
        <v>422</v>
      </c>
      <c r="C19" s="397"/>
      <c r="D19" s="681">
        <f>IFERROR(STATS!C4,0)</f>
        <v>2.5000000000000001E-2</v>
      </c>
      <c r="E19" s="183"/>
      <c r="F19" s="397"/>
      <c r="G19" s="397"/>
      <c r="H19" s="397"/>
      <c r="I19" s="408" t="s">
        <v>219</v>
      </c>
      <c r="J19" s="408" t="s">
        <v>423</v>
      </c>
      <c r="K19" s="408" t="s">
        <v>423</v>
      </c>
      <c r="L19" s="397"/>
      <c r="M19" s="183"/>
      <c r="N19" s="183"/>
      <c r="O19" s="183"/>
      <c r="P19" s="183"/>
    </row>
    <row r="20" spans="1:16">
      <c r="A20" s="183"/>
      <c r="B20" s="397" t="s">
        <v>424</v>
      </c>
      <c r="C20" s="397"/>
      <c r="D20" s="185">
        <v>0.06</v>
      </c>
      <c r="E20" s="183"/>
      <c r="F20" s="397"/>
      <c r="G20" s="397"/>
      <c r="H20" s="397"/>
      <c r="I20" s="408" t="s">
        <v>409</v>
      </c>
      <c r="J20" s="408" t="s">
        <v>407</v>
      </c>
      <c r="K20" s="408" t="s">
        <v>408</v>
      </c>
      <c r="L20" s="408" t="s">
        <v>425</v>
      </c>
      <c r="M20" s="183"/>
      <c r="N20" s="183"/>
      <c r="O20" s="183"/>
      <c r="P20" s="183"/>
    </row>
    <row r="21" spans="1:16">
      <c r="A21" s="183"/>
      <c r="B21" s="397" t="s">
        <v>412</v>
      </c>
      <c r="C21" s="397"/>
      <c r="D21" s="403">
        <f>L22</f>
        <v>1.7616880061943179</v>
      </c>
      <c r="E21" s="183"/>
      <c r="F21" s="397"/>
      <c r="G21" s="397"/>
      <c r="H21" s="397"/>
      <c r="I21" s="410" t="s">
        <v>415</v>
      </c>
      <c r="J21" s="410" t="s">
        <v>55</v>
      </c>
      <c r="K21" s="410" t="s">
        <v>269</v>
      </c>
      <c r="L21" s="410" t="s">
        <v>415</v>
      </c>
      <c r="M21" s="183"/>
      <c r="N21" s="183"/>
      <c r="O21" s="183"/>
      <c r="P21" s="183"/>
    </row>
    <row r="22" spans="1:16">
      <c r="A22" s="183"/>
      <c r="B22" s="399" t="s">
        <v>426</v>
      </c>
      <c r="C22" s="399"/>
      <c r="D22" s="185">
        <v>0.01</v>
      </c>
      <c r="E22" s="183"/>
      <c r="F22" s="400" t="s">
        <v>427</v>
      </c>
      <c r="G22" s="397"/>
      <c r="H22" s="397"/>
      <c r="I22" s="412">
        <f>L15</f>
        <v>1.0192033301545553</v>
      </c>
      <c r="J22" s="246">
        <f>D8/D9</f>
        <v>0.94609758868471139</v>
      </c>
      <c r="K22" s="411">
        <f>D14</f>
        <v>0.23</v>
      </c>
      <c r="L22" s="197">
        <f>+I22*(1+(J22)*(1-K22))</f>
        <v>1.7616880061943179</v>
      </c>
      <c r="M22" s="183"/>
      <c r="N22" s="183"/>
      <c r="O22" s="183"/>
      <c r="P22" s="183"/>
    </row>
    <row r="23" spans="1:16">
      <c r="A23" s="183"/>
      <c r="B23" s="400" t="s">
        <v>428</v>
      </c>
      <c r="C23" s="397"/>
      <c r="D23" s="232">
        <f>D19+(D21*D20)+D22</f>
        <v>0.14070128037165908</v>
      </c>
      <c r="E23" s="183"/>
      <c r="F23" s="193"/>
      <c r="G23" s="181"/>
      <c r="H23" s="181"/>
      <c r="I23" s="195"/>
      <c r="J23" s="196"/>
      <c r="K23" s="196"/>
      <c r="L23" s="198"/>
      <c r="M23" s="183"/>
      <c r="N23" s="183"/>
      <c r="O23" s="183"/>
      <c r="P23" s="183"/>
    </row>
    <row r="24" spans="1:16">
      <c r="A24" s="183"/>
      <c r="B24" s="400"/>
      <c r="C24" s="397"/>
      <c r="D24" s="399"/>
      <c r="E24" s="183"/>
      <c r="F24" s="204" t="s">
        <v>429</v>
      </c>
      <c r="G24" s="204"/>
      <c r="H24" s="204"/>
      <c r="I24" s="204"/>
      <c r="J24" s="204"/>
      <c r="K24" s="204"/>
      <c r="L24" s="204"/>
      <c r="M24" s="183"/>
      <c r="N24" s="183"/>
      <c r="O24" s="183"/>
      <c r="P24" s="183"/>
    </row>
    <row r="25" spans="1:16">
      <c r="A25" s="183"/>
      <c r="B25" s="396"/>
      <c r="C25" s="397"/>
      <c r="D25" s="397"/>
      <c r="E25" s="183"/>
      <c r="F25" s="181"/>
      <c r="G25" s="183"/>
      <c r="H25" s="862" t="s">
        <v>415</v>
      </c>
      <c r="I25" s="862"/>
      <c r="J25" s="862"/>
      <c r="K25" s="862"/>
      <c r="L25" s="862"/>
      <c r="M25" s="183"/>
      <c r="N25" s="183"/>
      <c r="O25" s="183"/>
      <c r="P25" s="183"/>
    </row>
    <row r="26" spans="1:16">
      <c r="A26" s="183"/>
      <c r="B26" s="400" t="s">
        <v>430</v>
      </c>
      <c r="C26" s="397"/>
      <c r="D26" s="232">
        <f>D9*D23+D8*D15</f>
        <v>7.229919053892532E-2</v>
      </c>
      <c r="E26" s="183"/>
      <c r="F26" s="863" t="s">
        <v>385</v>
      </c>
      <c r="G26" s="463">
        <f>D26</f>
        <v>7.229919053892532E-2</v>
      </c>
      <c r="H26" s="503">
        <f>I26-0.2</f>
        <v>1.29</v>
      </c>
      <c r="I26" s="503">
        <f>J26-0.2</f>
        <v>1.49</v>
      </c>
      <c r="J26" s="504">
        <v>1.69</v>
      </c>
      <c r="K26" s="503">
        <f>J26+0.2</f>
        <v>1.89</v>
      </c>
      <c r="L26" s="503">
        <f>K26+0.2</f>
        <v>2.09</v>
      </c>
      <c r="M26" s="183"/>
      <c r="N26" s="183"/>
      <c r="O26" s="183"/>
      <c r="P26" s="183"/>
    </row>
    <row r="27" spans="1:16">
      <c r="A27" s="183"/>
      <c r="B27" s="395"/>
      <c r="C27" s="395"/>
      <c r="D27" s="395"/>
      <c r="E27" s="183"/>
      <c r="F27" s="863"/>
      <c r="G27" s="501">
        <f>G28-0.0025</f>
        <v>2.0000000000000004E-2</v>
      </c>
      <c r="H27" s="464">
        <f t="dataTable" ref="H27:L31" dt2D="1" dtr="1" r1="D21" r2="D19"/>
        <v>5.5187366052175883E-2</v>
      </c>
      <c r="I27" s="465">
        <v>6.1353552203256986E-2</v>
      </c>
      <c r="J27" s="465">
        <v>6.7519738354338096E-2</v>
      </c>
      <c r="K27" s="465">
        <v>7.3685924505419206E-2</v>
      </c>
      <c r="L27" s="465">
        <v>7.9852110656500302E-2</v>
      </c>
      <c r="M27" s="183"/>
      <c r="N27" s="183"/>
      <c r="O27" s="183"/>
      <c r="P27" s="183"/>
    </row>
    <row r="28" spans="1:16">
      <c r="A28" s="183"/>
      <c r="B28" s="183"/>
      <c r="C28" s="183"/>
      <c r="D28" s="183"/>
      <c r="E28" s="183"/>
      <c r="F28" s="863"/>
      <c r="G28" s="501">
        <f>G29-0.0025</f>
        <v>2.2500000000000003E-2</v>
      </c>
      <c r="H28" s="464">
        <v>5.6471988166984448E-2</v>
      </c>
      <c r="I28" s="466">
        <v>6.2638174318065551E-2</v>
      </c>
      <c r="J28" s="466">
        <v>6.8804360469146661E-2</v>
      </c>
      <c r="K28" s="466">
        <v>7.4970546620227771E-2</v>
      </c>
      <c r="L28" s="465">
        <v>8.1136732771308867E-2</v>
      </c>
      <c r="M28" s="183"/>
      <c r="N28" s="183"/>
      <c r="O28" s="183"/>
      <c r="P28" s="183"/>
    </row>
    <row r="29" spans="1:16">
      <c r="A29" s="183"/>
      <c r="B29" s="183"/>
      <c r="C29" s="183"/>
      <c r="D29" s="183"/>
      <c r="E29" s="183"/>
      <c r="F29" s="863"/>
      <c r="G29" s="502">
        <v>2.5000000000000001E-2</v>
      </c>
      <c r="H29" s="464">
        <v>5.7756610281793005E-2</v>
      </c>
      <c r="I29" s="466">
        <v>6.3922796432874116E-2</v>
      </c>
      <c r="J29" s="467">
        <v>7.0088982583955226E-2</v>
      </c>
      <c r="K29" s="466">
        <v>7.6255168735036336E-2</v>
      </c>
      <c r="L29" s="465">
        <v>8.2421354886117432E-2</v>
      </c>
      <c r="M29" s="183"/>
      <c r="N29" s="183"/>
      <c r="O29" s="183"/>
      <c r="P29" s="183"/>
    </row>
    <row r="30" spans="1:16">
      <c r="A30" s="183"/>
      <c r="B30" s="183"/>
      <c r="C30" s="183"/>
      <c r="D30" s="183"/>
      <c r="E30" s="183"/>
      <c r="F30" s="863"/>
      <c r="G30" s="501">
        <f>G29+0.0025</f>
        <v>2.75E-2</v>
      </c>
      <c r="H30" s="464">
        <v>5.904123239660157E-2</v>
      </c>
      <c r="I30" s="466">
        <v>6.520741854768268E-2</v>
      </c>
      <c r="J30" s="466">
        <v>7.137360469876379E-2</v>
      </c>
      <c r="K30" s="466">
        <v>7.75397908498449E-2</v>
      </c>
      <c r="L30" s="465">
        <v>8.3705977000925996E-2</v>
      </c>
      <c r="M30" s="183"/>
      <c r="N30" s="183"/>
      <c r="O30" s="183"/>
      <c r="P30" s="183"/>
    </row>
    <row r="31" spans="1:16">
      <c r="A31" s="183"/>
      <c r="B31" s="183"/>
      <c r="C31" s="183"/>
      <c r="D31" s="183"/>
      <c r="E31" s="183"/>
      <c r="F31" s="863"/>
      <c r="G31" s="501">
        <f>G30+0.0025</f>
        <v>0.03</v>
      </c>
      <c r="H31" s="464">
        <v>6.0325854511410135E-2</v>
      </c>
      <c r="I31" s="465">
        <v>6.6492040662491245E-2</v>
      </c>
      <c r="J31" s="465">
        <v>7.2658226813572355E-2</v>
      </c>
      <c r="K31" s="465">
        <v>7.8824412964653451E-2</v>
      </c>
      <c r="L31" s="465">
        <v>8.4990599115734561E-2</v>
      </c>
      <c r="M31" s="183"/>
      <c r="N31" s="183"/>
      <c r="O31" s="183"/>
      <c r="P31" s="183"/>
    </row>
    <row r="32" spans="1:16">
      <c r="A32" s="183"/>
      <c r="B32" s="183"/>
      <c r="C32" s="183"/>
      <c r="D32" s="183"/>
      <c r="E32" s="183"/>
      <c r="F32" s="618"/>
      <c r="G32" s="682"/>
      <c r="H32" s="465"/>
      <c r="I32" s="465"/>
      <c r="J32" s="465"/>
      <c r="K32" s="465"/>
      <c r="L32" s="465"/>
      <c r="M32" s="183"/>
      <c r="N32" s="183"/>
      <c r="O32" s="183"/>
      <c r="P32" s="183"/>
    </row>
    <row r="33" spans="1:16">
      <c r="A33" s="183"/>
      <c r="B33" s="183"/>
      <c r="C33" s="183"/>
      <c r="D33" s="183"/>
      <c r="E33" s="183"/>
      <c r="F33" s="618"/>
      <c r="G33" s="682"/>
      <c r="H33" s="465"/>
      <c r="I33" s="465"/>
      <c r="J33" s="465"/>
      <c r="K33" s="465"/>
      <c r="L33" s="465"/>
      <c r="M33" s="183"/>
      <c r="N33" s="183"/>
      <c r="O33" s="183"/>
      <c r="P33" s="183"/>
    </row>
    <row r="34" spans="1:16">
      <c r="A34" s="18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183"/>
      <c r="N34" s="183"/>
      <c r="O34" s="183"/>
      <c r="P34" s="183"/>
    </row>
    <row r="35" spans="1:16">
      <c r="A35" s="183"/>
      <c r="B35" s="320" t="s">
        <v>461</v>
      </c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183"/>
      <c r="N35" s="183"/>
      <c r="O35" s="183"/>
      <c r="P35" s="183"/>
    </row>
    <row r="36" spans="1:16">
      <c r="A36" s="183"/>
      <c r="B36" s="320" t="s">
        <v>3648</v>
      </c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183"/>
      <c r="N36" s="183"/>
      <c r="O36" s="183"/>
      <c r="P36" s="183"/>
    </row>
    <row r="37" spans="1:16">
      <c r="A37" s="183"/>
      <c r="B37" s="320" t="s">
        <v>3649</v>
      </c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183"/>
      <c r="N37" s="183"/>
      <c r="O37" s="183"/>
      <c r="P37" s="183"/>
    </row>
  </sheetData>
  <mergeCells count="2">
    <mergeCell ref="H25:L25"/>
    <mergeCell ref="F26:F3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33E6-78D9-2A4C-AE96-C979A90DDD7F}">
  <sheetPr codeName="Sheet4"/>
  <dimension ref="B1:CT260"/>
  <sheetViews>
    <sheetView showGridLines="0" topLeftCell="J1" zoomScale="150" zoomScaleNormal="150" workbookViewId="0">
      <selection activeCell="P8" sqref="P8"/>
    </sheetView>
  </sheetViews>
  <sheetFormatPr baseColWidth="10" defaultRowHeight="16"/>
  <cols>
    <col min="1" max="1" width="1.1640625" customWidth="1"/>
    <col min="2" max="2" width="30.1640625" customWidth="1"/>
    <col min="3" max="3" width="14.6640625" customWidth="1"/>
    <col min="4" max="4" width="17.83203125" customWidth="1"/>
    <col min="5" max="5" width="14.83203125" customWidth="1"/>
    <col min="6" max="6" width="13" customWidth="1"/>
    <col min="7" max="7" width="14.6640625" customWidth="1"/>
    <col min="8" max="8" width="1.1640625" customWidth="1"/>
    <col min="9" max="10" width="11.83203125" customWidth="1"/>
    <col min="11" max="11" width="10.83203125" customWidth="1"/>
    <col min="12" max="13" width="12" customWidth="1"/>
    <col min="14" max="15" width="14.83203125" customWidth="1"/>
    <col min="16" max="16" width="10.83203125" customWidth="1"/>
    <col min="17" max="17" width="12" customWidth="1"/>
    <col min="18" max="19" width="13.5" customWidth="1"/>
    <col min="20" max="20" width="11.83203125" customWidth="1"/>
    <col min="21" max="22" width="10.83203125" customWidth="1"/>
    <col min="23" max="24" width="11" customWidth="1"/>
    <col min="25" max="30" width="11.33203125" customWidth="1"/>
    <col min="31" max="31" width="1.1640625" customWidth="1"/>
    <col min="32" max="32" width="14.33203125" customWidth="1"/>
    <col min="33" max="33" width="11.1640625" customWidth="1"/>
    <col min="34" max="34" width="10.83203125" customWidth="1"/>
    <col min="35" max="35" width="13.83203125" customWidth="1"/>
    <col min="36" max="36" width="1.1640625" customWidth="1"/>
    <col min="37" max="42" width="10.83203125" customWidth="1"/>
    <col min="43" max="43" width="1.1640625" customWidth="1"/>
    <col min="44" max="44" width="20" customWidth="1"/>
    <col min="45" max="45" width="1.1640625" customWidth="1"/>
    <col min="46" max="47" width="20.33203125" customWidth="1"/>
    <col min="48" max="48" width="10.83203125" customWidth="1"/>
    <col min="49" max="49" width="18.5" customWidth="1"/>
    <col min="50" max="50" width="1.1640625" customWidth="1"/>
    <col min="51" max="51" width="17" customWidth="1"/>
    <col min="52" max="52" width="15" customWidth="1"/>
    <col min="53" max="53" width="18.5" customWidth="1"/>
    <col min="54" max="54" width="1.1640625" customWidth="1"/>
    <col min="55" max="55" width="17.5" customWidth="1"/>
    <col min="56" max="56" width="16.33203125" customWidth="1"/>
    <col min="57" max="57" width="14.83203125" customWidth="1"/>
    <col min="58" max="58" width="1.1640625" customWidth="1"/>
    <col min="59" max="59" width="12" customWidth="1"/>
    <col min="60" max="60" width="14.1640625" customWidth="1"/>
    <col min="61" max="61" width="1.1640625" style="44" customWidth="1"/>
    <col min="62" max="64" width="14.1640625" customWidth="1"/>
    <col min="65" max="65" width="1.1640625" customWidth="1"/>
    <col min="66" max="71" width="14.1640625" customWidth="1"/>
    <col min="72" max="72" width="1.1640625" customWidth="1"/>
    <col min="73" max="73" width="17.1640625" customWidth="1"/>
    <col min="74" max="74" width="17" customWidth="1"/>
    <col min="75" max="75" width="1.1640625" customWidth="1"/>
    <col min="76" max="79" width="14.1640625" customWidth="1"/>
    <col min="80" max="80" width="1.1640625" customWidth="1"/>
    <col min="81" max="82" width="14.1640625" customWidth="1"/>
    <col min="83" max="83" width="18" customWidth="1"/>
    <col min="84" max="84" width="1.1640625" customWidth="1"/>
    <col min="85" max="85" width="14.1640625" bestFit="1" customWidth="1"/>
    <col min="86" max="86" width="14.6640625" bestFit="1" customWidth="1"/>
    <col min="87" max="87" width="18" bestFit="1" customWidth="1"/>
    <col min="88" max="88" width="14.1640625" bestFit="1" customWidth="1"/>
    <col min="89" max="89" width="13.33203125" bestFit="1" customWidth="1"/>
    <col min="90" max="91" width="15.33203125" bestFit="1" customWidth="1"/>
    <col min="92" max="92" width="1.1640625" customWidth="1"/>
    <col min="93" max="93" width="15.33203125" bestFit="1" customWidth="1"/>
    <col min="94" max="94" width="13" bestFit="1" customWidth="1"/>
    <col min="95" max="95" width="1.1640625" customWidth="1"/>
    <col min="96" max="96" width="13.33203125" bestFit="1" customWidth="1"/>
    <col min="97" max="97" width="15.33203125" bestFit="1" customWidth="1"/>
    <col min="98" max="98" width="30.33203125" bestFit="1" customWidth="1"/>
  </cols>
  <sheetData>
    <row r="1" spans="2:98" ht="29">
      <c r="B1" s="242" t="str">
        <f>IS!F8</f>
        <v>Urban Outfitters Inc.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</row>
    <row r="2" spans="2:98" ht="24">
      <c r="B2" s="241" t="s">
        <v>458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</row>
    <row r="3" spans="2:98">
      <c r="B3" s="710" t="s">
        <v>3673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40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</row>
    <row r="4" spans="2:98">
      <c r="B4" s="16"/>
    </row>
    <row r="5" spans="2:98">
      <c r="B5" s="4" t="s">
        <v>156</v>
      </c>
      <c r="C5" s="4"/>
      <c r="D5" s="4"/>
      <c r="E5" s="4"/>
      <c r="F5" s="865" t="s">
        <v>171</v>
      </c>
      <c r="G5" s="865"/>
      <c r="I5" s="865" t="s">
        <v>494</v>
      </c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179"/>
      <c r="AA5" s="179"/>
      <c r="AB5" s="179"/>
      <c r="AC5" s="179"/>
      <c r="AD5" s="179"/>
      <c r="AF5" s="865" t="s">
        <v>195</v>
      </c>
      <c r="AG5" s="865"/>
      <c r="AH5" s="865"/>
      <c r="AI5" s="865"/>
      <c r="AK5" s="865" t="s">
        <v>172</v>
      </c>
      <c r="AL5" s="865"/>
      <c r="AM5" s="865"/>
      <c r="AN5" s="865"/>
      <c r="AO5" s="865"/>
      <c r="AP5" s="865"/>
      <c r="AR5" s="179" t="s">
        <v>184</v>
      </c>
      <c r="AS5" s="4"/>
      <c r="AT5" s="865" t="s">
        <v>185</v>
      </c>
      <c r="AU5" s="865"/>
      <c r="AV5" s="865"/>
      <c r="AW5" s="865"/>
      <c r="AX5" s="4"/>
      <c r="AY5" s="865" t="s">
        <v>495</v>
      </c>
      <c r="AZ5" s="865"/>
      <c r="BA5" s="865"/>
      <c r="BB5" s="4"/>
      <c r="BC5" s="865" t="s">
        <v>196</v>
      </c>
      <c r="BD5" s="865"/>
      <c r="BE5" s="865"/>
      <c r="BF5" s="4"/>
      <c r="BG5" s="865" t="s">
        <v>197</v>
      </c>
      <c r="BH5" s="865"/>
      <c r="BI5" s="45"/>
      <c r="BJ5" s="865" t="s">
        <v>211</v>
      </c>
      <c r="BK5" s="865"/>
      <c r="BL5" s="865"/>
      <c r="BM5" s="865"/>
      <c r="BN5" s="865"/>
      <c r="BO5" s="865"/>
      <c r="BP5" s="865"/>
      <c r="BQ5" s="865"/>
      <c r="BR5" s="865"/>
      <c r="BS5" s="865"/>
      <c r="BT5" s="45"/>
      <c r="BU5" s="45"/>
      <c r="BV5" s="45"/>
      <c r="BW5" s="45"/>
      <c r="BX5" s="865" t="s">
        <v>214</v>
      </c>
      <c r="BY5" s="865"/>
      <c r="BZ5" s="865"/>
      <c r="CA5" s="865"/>
      <c r="CB5" s="45"/>
      <c r="CC5" s="45"/>
      <c r="CD5" s="45"/>
      <c r="CG5" s="865" t="s">
        <v>3605</v>
      </c>
      <c r="CH5" s="865"/>
      <c r="CI5" s="865"/>
      <c r="CJ5" s="865"/>
      <c r="CK5" s="865"/>
      <c r="CL5" s="865"/>
      <c r="CM5" s="865"/>
      <c r="CO5" s="865" t="s">
        <v>3612</v>
      </c>
      <c r="CP5" s="865"/>
      <c r="CR5" s="865" t="s">
        <v>3613</v>
      </c>
      <c r="CS5" s="865"/>
      <c r="CT5" s="865"/>
    </row>
    <row r="6" spans="2:98">
      <c r="AE6" s="32"/>
      <c r="AJ6" s="32"/>
      <c r="AK6" s="864" t="s">
        <v>166</v>
      </c>
      <c r="AL6" s="864"/>
      <c r="AM6" s="864" t="s">
        <v>75</v>
      </c>
      <c r="AN6" s="864"/>
      <c r="AO6" s="864" t="s">
        <v>167</v>
      </c>
      <c r="AP6" s="864"/>
    </row>
    <row r="7" spans="2:98">
      <c r="B7" s="17" t="s">
        <v>3650</v>
      </c>
      <c r="C7" s="33" t="s">
        <v>157</v>
      </c>
      <c r="D7" s="33" t="s">
        <v>201</v>
      </c>
      <c r="E7" s="33" t="s">
        <v>202</v>
      </c>
      <c r="F7" s="33" t="s">
        <v>158</v>
      </c>
      <c r="G7" s="33" t="s">
        <v>159</v>
      </c>
      <c r="H7" s="34"/>
      <c r="I7" s="33" t="s">
        <v>3646</v>
      </c>
      <c r="J7" s="33" t="s">
        <v>203</v>
      </c>
      <c r="K7" s="33" t="s">
        <v>3645</v>
      </c>
      <c r="L7" s="33" t="s">
        <v>204</v>
      </c>
      <c r="M7" s="33" t="s">
        <v>3639</v>
      </c>
      <c r="N7" s="33" t="s">
        <v>3643</v>
      </c>
      <c r="O7" s="33" t="s">
        <v>3603</v>
      </c>
      <c r="P7" s="33" t="s">
        <v>205</v>
      </c>
      <c r="Q7" s="33" t="s">
        <v>3640</v>
      </c>
      <c r="R7" s="33" t="s">
        <v>206</v>
      </c>
      <c r="S7" s="33" t="s">
        <v>3641</v>
      </c>
      <c r="T7" s="33" t="s">
        <v>3647</v>
      </c>
      <c r="U7" s="33" t="s">
        <v>207</v>
      </c>
      <c r="V7" s="33" t="s">
        <v>3644</v>
      </c>
      <c r="W7" s="33" t="s">
        <v>208</v>
      </c>
      <c r="X7" s="33" t="s">
        <v>3642</v>
      </c>
      <c r="Y7" s="33" t="s">
        <v>161</v>
      </c>
      <c r="Z7" s="33" t="s">
        <v>3604</v>
      </c>
      <c r="AA7" s="33" t="s">
        <v>212</v>
      </c>
      <c r="AB7" s="33" t="s">
        <v>3653</v>
      </c>
      <c r="AC7" s="33" t="s">
        <v>213</v>
      </c>
      <c r="AD7" s="33" t="s">
        <v>3651</v>
      </c>
      <c r="AE7" s="34"/>
      <c r="AF7" s="33" t="s">
        <v>162</v>
      </c>
      <c r="AG7" s="33" t="s">
        <v>163</v>
      </c>
      <c r="AH7" s="33" t="s">
        <v>164</v>
      </c>
      <c r="AI7" s="33" t="s">
        <v>165</v>
      </c>
      <c r="AJ7" s="34"/>
      <c r="AK7" s="33" t="s">
        <v>168</v>
      </c>
      <c r="AL7" s="33" t="s">
        <v>169</v>
      </c>
      <c r="AM7" s="33" t="s">
        <v>168</v>
      </c>
      <c r="AN7" s="33" t="s">
        <v>169</v>
      </c>
      <c r="AO7" s="33" t="s">
        <v>168</v>
      </c>
      <c r="AP7" s="33" t="s">
        <v>169</v>
      </c>
      <c r="AR7" s="33" t="s">
        <v>173</v>
      </c>
      <c r="AS7" s="32"/>
      <c r="AT7" s="33" t="s">
        <v>174</v>
      </c>
      <c r="AU7" s="33" t="s">
        <v>175</v>
      </c>
      <c r="AV7" s="33" t="s">
        <v>176</v>
      </c>
      <c r="AW7" s="33" t="s">
        <v>177</v>
      </c>
      <c r="AX7" s="34"/>
      <c r="AY7" s="33" t="s">
        <v>179</v>
      </c>
      <c r="AZ7" s="33" t="s">
        <v>178</v>
      </c>
      <c r="BA7" s="33" t="s">
        <v>180</v>
      </c>
      <c r="BB7" s="34"/>
      <c r="BC7" s="33" t="s">
        <v>181</v>
      </c>
      <c r="BD7" s="33" t="s">
        <v>182</v>
      </c>
      <c r="BE7" s="33" t="s">
        <v>183</v>
      </c>
      <c r="BF7" s="34"/>
      <c r="BG7" s="33" t="s">
        <v>198</v>
      </c>
      <c r="BH7" s="33" t="s">
        <v>199</v>
      </c>
      <c r="BI7" s="46"/>
      <c r="BJ7" s="50" t="s">
        <v>203</v>
      </c>
      <c r="BK7" s="50" t="s">
        <v>204</v>
      </c>
      <c r="BL7" s="50" t="s">
        <v>3639</v>
      </c>
      <c r="BM7" s="34"/>
      <c r="BN7" s="50" t="s">
        <v>205</v>
      </c>
      <c r="BO7" s="50" t="s">
        <v>206</v>
      </c>
      <c r="BP7" s="50" t="s">
        <v>3641</v>
      </c>
      <c r="BQ7" s="50" t="s">
        <v>207</v>
      </c>
      <c r="BR7" s="50" t="s">
        <v>208</v>
      </c>
      <c r="BS7" s="50" t="s">
        <v>3642</v>
      </c>
      <c r="BT7" s="34"/>
      <c r="BU7" s="50" t="s">
        <v>209</v>
      </c>
      <c r="BV7" s="50" t="s">
        <v>210</v>
      </c>
      <c r="BW7" s="34"/>
      <c r="BX7" s="50" t="s">
        <v>212</v>
      </c>
      <c r="BY7" s="50" t="s">
        <v>3604</v>
      </c>
      <c r="BZ7" s="50" t="s">
        <v>213</v>
      </c>
      <c r="CA7" s="50" t="s">
        <v>3651</v>
      </c>
      <c r="CB7" s="34"/>
      <c r="CC7" s="50" t="s">
        <v>3652</v>
      </c>
      <c r="CD7" s="50" t="s">
        <v>216</v>
      </c>
      <c r="CE7" s="50" t="s">
        <v>215</v>
      </c>
      <c r="CF7" s="34"/>
      <c r="CG7" s="33" t="s">
        <v>34</v>
      </c>
      <c r="CH7" s="33" t="s">
        <v>377</v>
      </c>
      <c r="CI7" s="33" t="s">
        <v>3606</v>
      </c>
      <c r="CJ7" s="33" t="s">
        <v>3614</v>
      </c>
      <c r="CK7" s="33" t="s">
        <v>3607</v>
      </c>
      <c r="CL7" s="33" t="s">
        <v>3608</v>
      </c>
      <c r="CM7" s="33" t="s">
        <v>493</v>
      </c>
      <c r="CO7" s="33" t="s">
        <v>189</v>
      </c>
      <c r="CP7" s="33" t="s">
        <v>3611</v>
      </c>
      <c r="CR7" s="33" t="s">
        <v>3609</v>
      </c>
      <c r="CS7" s="33" t="s">
        <v>3675</v>
      </c>
      <c r="CT7" s="33" t="s">
        <v>3610</v>
      </c>
    </row>
    <row r="8" spans="2:98">
      <c r="B8" s="4" t="s">
        <v>0</v>
      </c>
      <c r="C8" s="34" t="s">
        <v>186</v>
      </c>
      <c r="D8" s="711">
        <f>IS!F21</f>
        <v>49.28</v>
      </c>
      <c r="E8" s="712">
        <f>IS!F22</f>
        <v>0.80575539568345333</v>
      </c>
      <c r="F8" s="713">
        <f>IS!F28</f>
        <v>4625314.8480000002</v>
      </c>
      <c r="G8" s="713">
        <f>IS!F34</f>
        <v>6158918.8480000002</v>
      </c>
      <c r="H8" s="612"/>
      <c r="I8" s="713">
        <f>IS!M11</f>
        <v>4795244</v>
      </c>
      <c r="J8" s="713">
        <f>IS!R11</f>
        <v>5233918</v>
      </c>
      <c r="K8" s="713">
        <f>IS!N11</f>
        <v>5153237</v>
      </c>
      <c r="L8" s="804">
        <v>5551000</v>
      </c>
      <c r="M8" s="804">
        <v>5942000</v>
      </c>
      <c r="N8" s="713">
        <f>IS!R51</f>
        <v>1766999</v>
      </c>
      <c r="O8" s="713">
        <f>IS!M20</f>
        <v>328962</v>
      </c>
      <c r="P8" s="713">
        <f>IS!R62</f>
        <v>553578</v>
      </c>
      <c r="Q8" s="713">
        <f>IS!M62</f>
        <v>324691</v>
      </c>
      <c r="R8" s="804">
        <v>593000</v>
      </c>
      <c r="S8" s="804">
        <v>693000</v>
      </c>
      <c r="T8" s="713">
        <f>IS!M23</f>
        <v>226623</v>
      </c>
      <c r="U8" s="713">
        <f>IS!R23</f>
        <v>395912</v>
      </c>
      <c r="V8" s="713">
        <f>IS!N23</f>
        <v>376199</v>
      </c>
      <c r="W8" s="804">
        <v>478000</v>
      </c>
      <c r="X8" s="804">
        <v>561000</v>
      </c>
      <c r="Y8" s="713">
        <f>IS!R67</f>
        <v>332529.13</v>
      </c>
      <c r="Z8" s="716">
        <f>IS!M35</f>
        <v>1.6963257863252172</v>
      </c>
      <c r="AA8" s="716">
        <f>IS!R35</f>
        <v>3.2672478709033008</v>
      </c>
      <c r="AB8" s="716">
        <f>IS!N35</f>
        <v>3.0497270767038578</v>
      </c>
      <c r="AC8" s="805">
        <v>4.26</v>
      </c>
      <c r="AD8" s="805">
        <v>4.7</v>
      </c>
      <c r="AE8" s="4"/>
      <c r="AF8" s="717">
        <f>N8/$J8</f>
        <v>0.33760540382940657</v>
      </c>
      <c r="AG8" s="717">
        <f>P8/$J8</f>
        <v>0.10576741935964606</v>
      </c>
      <c r="AH8" s="717">
        <f>U8/$J8</f>
        <v>7.5643523647103375E-2</v>
      </c>
      <c r="AI8" s="717">
        <f>Y8/$J8</f>
        <v>6.353350014272291E-2</v>
      </c>
      <c r="AJ8" s="4"/>
      <c r="AK8" s="717">
        <f>IS!C67</f>
        <v>7.4655846501241643E-2</v>
      </c>
      <c r="AL8" s="717">
        <f>IS!C70</f>
        <v>8.4721006233557772E-2</v>
      </c>
      <c r="AM8" s="717">
        <f>IS!D67</f>
        <v>0.58361334314779278</v>
      </c>
      <c r="AN8" s="717">
        <f>IS!D70</f>
        <v>0.22613062533685921</v>
      </c>
      <c r="AO8" s="722">
        <f>(AB8-Z8)/Z8</f>
        <v>0.79784278544190468</v>
      </c>
      <c r="AP8" s="722">
        <f>(AC8-AA8)/AA8</f>
        <v>0.30384965216068266</v>
      </c>
      <c r="AQ8" s="4"/>
      <c r="AR8" s="616">
        <v>1.56</v>
      </c>
      <c r="AS8" s="4"/>
      <c r="AT8" s="717">
        <f>(Y8+CO8)/(CG8+CJ8)</f>
        <v>5.5678874439064087E-2</v>
      </c>
      <c r="AU8" s="717">
        <f>Y8/(CG8-CJ8)</f>
        <v>0.15740725856078466</v>
      </c>
      <c r="AV8" s="717">
        <f>Y8/CG8</f>
        <v>8.0883538151429429E-2</v>
      </c>
      <c r="AW8" s="738">
        <f>CS8/D8</f>
        <v>0</v>
      </c>
      <c r="AX8" s="4"/>
      <c r="AY8" s="787">
        <f>CJ8/(CG8+CJ8)</f>
        <v>0.32712093432962164</v>
      </c>
      <c r="AZ8" s="787">
        <f>CJ8/P8</f>
        <v>3.6104559791032158</v>
      </c>
      <c r="BA8" s="787">
        <f>(CJ8-CI8)/P8</f>
        <v>2.7703485326367741</v>
      </c>
      <c r="BB8" s="38"/>
      <c r="BC8" s="787">
        <f>P8/CO8</f>
        <v>72.249804228660921</v>
      </c>
      <c r="BD8" s="787">
        <f>P8/CP8</f>
        <v>3.2128169561760389</v>
      </c>
      <c r="BE8" s="787">
        <f>U8/CO8</f>
        <v>51.672148264160796</v>
      </c>
      <c r="BF8" s="4"/>
      <c r="BG8" s="615" t="s">
        <v>200</v>
      </c>
      <c r="BH8" s="615" t="s">
        <v>3656</v>
      </c>
      <c r="BI8" s="47"/>
      <c r="BJ8" s="737">
        <f>$G8/J8</f>
        <v>1.1767320099397813</v>
      </c>
      <c r="BK8" s="737">
        <f>$G8/L8</f>
        <v>1.109515195099982</v>
      </c>
      <c r="BL8" s="737">
        <f>$G8/M8</f>
        <v>1.0365060329855269</v>
      </c>
      <c r="BM8" s="43"/>
      <c r="BN8" s="737">
        <f>$G8/P8</f>
        <v>11.125656814396526</v>
      </c>
      <c r="BO8" s="737">
        <f>$G8/R8</f>
        <v>10.38603515682968</v>
      </c>
      <c r="BP8" s="737">
        <f>$G8/S8</f>
        <v>8.8873287849927856</v>
      </c>
      <c r="BQ8" s="737">
        <f>$G8/U8</f>
        <v>15.556282325365233</v>
      </c>
      <c r="BR8" s="737">
        <f>$G8/W8</f>
        <v>12.884767464435146</v>
      </c>
      <c r="BS8" s="737">
        <f>$G8/X8</f>
        <v>10.97846496969697</v>
      </c>
      <c r="BT8" s="43"/>
      <c r="BU8" s="738">
        <f>AG8</f>
        <v>0.10576741935964606</v>
      </c>
      <c r="BV8" s="779">
        <f>CJ8/P8</f>
        <v>3.6104559791032158</v>
      </c>
      <c r="BW8" s="42"/>
      <c r="BX8" s="783">
        <f>D8/AA8</f>
        <v>15.083030717952687</v>
      </c>
      <c r="BY8" s="783">
        <f>D8/Z8</f>
        <v>29.051023333646423</v>
      </c>
      <c r="BZ8" s="783">
        <f>D8/AC8</f>
        <v>11.568075117370892</v>
      </c>
      <c r="CA8" s="783">
        <f>D8/AD8</f>
        <v>10.485106382978723</v>
      </c>
      <c r="CB8" s="42"/>
      <c r="CC8" s="738">
        <f>(BX8-BY8)/BY8</f>
        <v>-0.48080897031658898</v>
      </c>
      <c r="CD8" s="737">
        <f>IFERROR(CR8/D8,"-")</f>
        <v>0</v>
      </c>
      <c r="CE8" s="738">
        <f>CO8/P8</f>
        <v>1.3840867953567518E-2</v>
      </c>
      <c r="CF8" s="4"/>
      <c r="CG8" s="748">
        <f>BS!I24</f>
        <v>4111209</v>
      </c>
      <c r="CH8" s="748">
        <f>BS!I15</f>
        <v>1282503</v>
      </c>
      <c r="CI8" s="748">
        <f>SUM(BS!I10:I11)</f>
        <v>465065</v>
      </c>
      <c r="CJ8" s="748">
        <f>BS!I39</f>
        <v>1998669</v>
      </c>
      <c r="CK8" s="748">
        <f>BS!I33</f>
        <v>994205</v>
      </c>
      <c r="CL8" s="748">
        <f>BS!I37</f>
        <v>1004464</v>
      </c>
      <c r="CM8" s="748">
        <f>G8-CI8</f>
        <v>5693853.8480000002</v>
      </c>
      <c r="CN8" s="617"/>
      <c r="CO8" s="748">
        <f>-IS!R26</f>
        <v>7662</v>
      </c>
      <c r="CP8" s="748">
        <f>-IS!R39</f>
        <v>172303</v>
      </c>
      <c r="CQ8" s="617"/>
      <c r="CR8" s="748">
        <f>IS!F25</f>
        <v>0</v>
      </c>
      <c r="CS8" s="748">
        <v>0</v>
      </c>
      <c r="CT8" s="748">
        <f>IS!R36</f>
        <v>93857850</v>
      </c>
    </row>
    <row r="9" spans="2:98">
      <c r="C9" s="35"/>
      <c r="D9" s="35"/>
      <c r="E9" s="35"/>
      <c r="AF9" s="37"/>
      <c r="AG9" s="37"/>
      <c r="AH9" s="37"/>
      <c r="AI9" s="37"/>
      <c r="AT9" s="37"/>
      <c r="AU9" s="37"/>
      <c r="AV9" s="37"/>
      <c r="AY9" s="38"/>
      <c r="AZ9" s="38"/>
      <c r="BA9" s="38"/>
      <c r="BB9" s="18"/>
      <c r="BC9" s="38"/>
      <c r="BD9" s="38"/>
      <c r="BE9" s="38"/>
      <c r="BG9" s="42"/>
      <c r="BH9" s="42"/>
      <c r="BI9" s="47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780"/>
      <c r="BW9" s="42"/>
      <c r="BX9" s="780"/>
      <c r="BY9" s="780"/>
      <c r="BZ9" s="780"/>
      <c r="CA9" s="780"/>
      <c r="CB9" s="42"/>
      <c r="CC9" s="42"/>
      <c r="CD9" s="42"/>
      <c r="CE9" s="21"/>
    </row>
    <row r="10" spans="2:98">
      <c r="B10" s="178" t="s">
        <v>193</v>
      </c>
      <c r="C10" s="233"/>
      <c r="D10" s="233"/>
      <c r="E10" s="233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5"/>
      <c r="AG10" s="235"/>
      <c r="AH10" s="235"/>
      <c r="AI10" s="235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6"/>
      <c r="AU10" s="236"/>
      <c r="AV10" s="236"/>
      <c r="AW10" s="234"/>
      <c r="AX10" s="234"/>
      <c r="AY10" s="236"/>
      <c r="AZ10" s="153"/>
      <c r="BA10" s="153"/>
      <c r="BB10" s="223"/>
      <c r="BC10" s="153"/>
      <c r="BD10" s="153"/>
      <c r="BE10" s="153"/>
      <c r="BF10" s="234"/>
      <c r="BG10" s="237"/>
      <c r="BH10" s="237"/>
      <c r="BI10" s="238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781"/>
      <c r="BW10" s="237"/>
      <c r="BX10" s="781"/>
      <c r="BY10" s="781"/>
      <c r="BZ10" s="781"/>
      <c r="CA10" s="781"/>
      <c r="CB10" s="237"/>
      <c r="CC10" s="237"/>
      <c r="CD10" s="237"/>
      <c r="CE10" s="786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</row>
    <row r="11" spans="2:98">
      <c r="B11" t="s">
        <v>228</v>
      </c>
      <c r="C11" s="35" t="s">
        <v>229</v>
      </c>
      <c r="D11" s="613">
        <v>20.57</v>
      </c>
      <c r="E11" s="614">
        <v>0.67</v>
      </c>
      <c r="F11" s="714">
        <f>D11*CT11</f>
        <v>7898880</v>
      </c>
      <c r="G11" s="715">
        <f>F11+CK11+CL11-CI11</f>
        <v>10815880</v>
      </c>
      <c r="H11" s="41"/>
      <c r="I11" s="691">
        <v>14889000</v>
      </c>
      <c r="J11" s="691">
        <v>15086000</v>
      </c>
      <c r="K11" s="691">
        <v>15086000</v>
      </c>
      <c r="L11" s="691">
        <v>15304000</v>
      </c>
      <c r="M11" s="691">
        <v>15822000</v>
      </c>
      <c r="N11" s="691">
        <v>6227000</v>
      </c>
      <c r="O11" s="691">
        <v>1168000</v>
      </c>
      <c r="P11" s="691">
        <v>1724000</v>
      </c>
      <c r="Q11" s="691">
        <v>1724000</v>
      </c>
      <c r="R11" s="691">
        <v>1718000</v>
      </c>
      <c r="S11" s="691">
        <v>1843000</v>
      </c>
      <c r="T11" s="691">
        <v>646000</v>
      </c>
      <c r="U11" s="691">
        <v>1224000</v>
      </c>
      <c r="V11" s="691">
        <v>1224000</v>
      </c>
      <c r="W11" s="691">
        <v>1198000</v>
      </c>
      <c r="X11" s="691">
        <v>1285000</v>
      </c>
      <c r="Y11" s="691">
        <v>502000</v>
      </c>
      <c r="Z11" s="692">
        <v>1.36</v>
      </c>
      <c r="AA11" s="692">
        <v>2.2000000000000002</v>
      </c>
      <c r="AB11" s="692">
        <v>2.2400000000000002</v>
      </c>
      <c r="AC11" s="692">
        <v>2.34</v>
      </c>
      <c r="AD11" s="692">
        <v>2.56</v>
      </c>
      <c r="AE11" s="41"/>
      <c r="AF11" s="749">
        <f>IFERROR(N11/$J11,"-")</f>
        <v>0.41276680365902163</v>
      </c>
      <c r="AG11" s="749">
        <f>IFERROR(P11/$J11,"-")</f>
        <v>0.11427813867161607</v>
      </c>
      <c r="AH11" s="749">
        <f>IFERROR(U11/$J11,"-")</f>
        <v>8.1134826991913031E-2</v>
      </c>
      <c r="AI11" s="749">
        <f>IFERROR(Y11/$J11,"-")</f>
        <v>3.3275884926421848E-2</v>
      </c>
      <c r="AJ11" s="750"/>
      <c r="AK11" s="749">
        <f>IFERROR((K11-I11)/I11,"-")</f>
        <v>1.3231244542951172E-2</v>
      </c>
      <c r="AL11" s="749">
        <f>IFERROR((L11-J11)/J11,"-")</f>
        <v>1.4450483892350523E-2</v>
      </c>
      <c r="AM11" s="749">
        <f>IFERROR((Q11-O11)/O11,"-")</f>
        <v>0.47602739726027399</v>
      </c>
      <c r="AN11" s="749">
        <f>IFERROR((R11-P11)/P11,"-")</f>
        <v>-3.4802784222737818E-3</v>
      </c>
      <c r="AO11" s="751">
        <f>IFERROR((AB11-Z11)/Z11,"-")</f>
        <v>0.6470588235294118</v>
      </c>
      <c r="AP11" s="751">
        <f>IFERROR((AC11-AA11)/AA11,"-")</f>
        <v>6.3636363636363491E-2</v>
      </c>
      <c r="AQ11" s="39"/>
      <c r="AR11" s="692">
        <v>2.37</v>
      </c>
      <c r="AS11" s="39"/>
      <c r="AT11" s="749">
        <f>IFERROR((Y11+CO11)/(CG11+CJ11),"-")</f>
        <v>2.872330049741539E-2</v>
      </c>
      <c r="AU11" s="749">
        <f>IFERROR(Y11/(CG11-CJ11),"-")</f>
        <v>0.15379901960784315</v>
      </c>
      <c r="AV11" s="749">
        <f>IFERROR(Y11/CG11,"-")</f>
        <v>4.2238115271350442E-2</v>
      </c>
      <c r="AW11" s="749">
        <f>IFERROR(CS11/D11,"-")</f>
        <v>3.2085561497326207E-2</v>
      </c>
      <c r="AX11" s="20"/>
      <c r="AY11" s="749">
        <f>IFERROR(CJ11/(CG11+CJ11),"-")</f>
        <v>0.42041353750121918</v>
      </c>
      <c r="AZ11" s="766">
        <f>IFERROR(CJ11/P11,"-")</f>
        <v>5.0005800464037122</v>
      </c>
      <c r="BA11" s="766">
        <f>IFERROR((CJ11-CI11)/P11,"-")</f>
        <v>3.5168213457076565</v>
      </c>
      <c r="BB11" s="18"/>
      <c r="BC11" s="766">
        <f>IFERROR(P11/CO11,"-")</f>
        <v>19.816091954022987</v>
      </c>
      <c r="BD11" s="766">
        <f>IFERROR(P11/CP11,"-")</f>
        <v>3.918181818181818</v>
      </c>
      <c r="BE11" s="766">
        <f>IFERROR(U11/CO11,"-")</f>
        <v>14.068965517241379</v>
      </c>
      <c r="BF11" s="20"/>
      <c r="BG11" s="615" t="s">
        <v>3655</v>
      </c>
      <c r="BH11" s="615" t="s">
        <v>3654</v>
      </c>
      <c r="BI11" s="693"/>
      <c r="BJ11" s="764">
        <f>IFERROR($G11/J11,"-")</f>
        <v>0.71694816386053295</v>
      </c>
      <c r="BK11" s="764">
        <f>IFERROR($G11/L11,"-")</f>
        <v>0.70673549398849977</v>
      </c>
      <c r="BL11" s="764">
        <f>IFERROR($G11/M11,"-")</f>
        <v>0.68359752243711291</v>
      </c>
      <c r="BM11" s="764"/>
      <c r="BN11" s="764">
        <f>IFERROR($G11/P11,"-")</f>
        <v>6.2737122969837591</v>
      </c>
      <c r="BO11" s="764">
        <f>IFERROR($G11/R11,"-")</f>
        <v>6.2956228172293365</v>
      </c>
      <c r="BP11" s="764">
        <f>IFERROR($G11/S11,"-")</f>
        <v>5.8686272381985889</v>
      </c>
      <c r="BQ11" s="764">
        <f>IFERROR($G11/U11,"-")</f>
        <v>8.8365032679738569</v>
      </c>
      <c r="BR11" s="764">
        <f>IFERROR($G11/V11,"-")</f>
        <v>8.8365032679738569</v>
      </c>
      <c r="BS11" s="764">
        <f>IFERROR($G11/X11,"-")</f>
        <v>8.4170272373540858</v>
      </c>
      <c r="BT11" s="43"/>
      <c r="BU11" s="720">
        <f>IFERROR(AG11,"-")</f>
        <v>0.11427813867161607</v>
      </c>
      <c r="BV11" s="782">
        <f>IFERROR(CJ11/P11,"-")</f>
        <v>5.0005800464037122</v>
      </c>
      <c r="BW11" s="43"/>
      <c r="BX11" s="764">
        <f>IFERROR(D11/AA11,"-")</f>
        <v>9.35</v>
      </c>
      <c r="BY11" s="764">
        <f>IFERROR(D11/Z11,"-")</f>
        <v>15.125</v>
      </c>
      <c r="BZ11" s="764">
        <f>IFERROR(D11/AC11,"-")</f>
        <v>8.7905982905982913</v>
      </c>
      <c r="CA11" s="764">
        <f>IFERROR(D11/AD11,"-")</f>
        <v>8.03515625</v>
      </c>
      <c r="CB11" s="43"/>
      <c r="CC11" s="720">
        <f>IFERROR((BX11-BY11)/BY11,"-")</f>
        <v>-0.38181818181818183</v>
      </c>
      <c r="CD11" s="720">
        <f>IFERROR(CR11/D11,"-")</f>
        <v>2.8682547399124937E-2</v>
      </c>
      <c r="CE11" s="777">
        <f>IFERROR(CO11/P11,"-")</f>
        <v>5.0464037122969839E-2</v>
      </c>
      <c r="CF11" s="600"/>
      <c r="CG11" s="683">
        <v>11885000</v>
      </c>
      <c r="CH11" s="683">
        <v>5203000</v>
      </c>
      <c r="CI11" s="683">
        <v>2558000</v>
      </c>
      <c r="CJ11" s="683">
        <v>8621000</v>
      </c>
      <c r="CK11" s="683">
        <v>632000</v>
      </c>
      <c r="CL11" s="683">
        <v>4843000</v>
      </c>
      <c r="CM11" s="742">
        <f>IFERROR(G11-CI11,"-")</f>
        <v>8257880</v>
      </c>
      <c r="CN11" s="600"/>
      <c r="CO11" s="683">
        <v>87000</v>
      </c>
      <c r="CP11" s="683">
        <v>440000</v>
      </c>
      <c r="CQ11" s="600"/>
      <c r="CR11" s="683">
        <v>0.59</v>
      </c>
      <c r="CS11" s="683">
        <f>0.165*4</f>
        <v>0.66</v>
      </c>
      <c r="CT11" s="683">
        <v>384000</v>
      </c>
    </row>
    <row r="12" spans="2:98">
      <c r="B12" t="s">
        <v>3660</v>
      </c>
      <c r="C12" s="35" t="s">
        <v>240</v>
      </c>
      <c r="D12" s="613">
        <v>46.61</v>
      </c>
      <c r="E12" s="614">
        <v>0.83</v>
      </c>
      <c r="F12" s="714">
        <f>D12*CT12</f>
        <v>145145078.13</v>
      </c>
      <c r="G12" s="715">
        <f>F12+CK12+CL12-CI12</f>
        <v>133650219.13</v>
      </c>
      <c r="H12" s="41"/>
      <c r="I12" s="691">
        <v>35947898</v>
      </c>
      <c r="J12" s="691">
        <v>38631875</v>
      </c>
      <c r="K12" s="691">
        <v>38631875</v>
      </c>
      <c r="L12" s="691">
        <v>41492000</v>
      </c>
      <c r="M12" s="691">
        <v>44660000</v>
      </c>
      <c r="N12" s="691">
        <v>22343387</v>
      </c>
      <c r="O12" s="691">
        <v>10181933</v>
      </c>
      <c r="P12" s="691">
        <v>11103105</v>
      </c>
      <c r="Q12" s="691">
        <v>11103105</v>
      </c>
      <c r="R12" s="691">
        <v>11476000</v>
      </c>
      <c r="S12" s="691">
        <v>12431000</v>
      </c>
      <c r="T12" s="691">
        <v>7140821</v>
      </c>
      <c r="U12" s="691">
        <v>7929121</v>
      </c>
      <c r="V12" s="691">
        <v>7929121</v>
      </c>
      <c r="W12" s="691">
        <v>8207000</v>
      </c>
      <c r="X12" s="691">
        <v>8877000</v>
      </c>
      <c r="Y12" s="691">
        <v>5886133</v>
      </c>
      <c r="Z12" s="692">
        <v>1.73</v>
      </c>
      <c r="AA12" s="692">
        <v>1.83</v>
      </c>
      <c r="AB12" s="692">
        <v>1.88</v>
      </c>
      <c r="AC12" s="692">
        <v>2.0299999999999998</v>
      </c>
      <c r="AD12" s="692">
        <v>2.23</v>
      </c>
      <c r="AE12" s="41"/>
      <c r="AF12" s="749">
        <f t="shared" ref="AF12:AF15" si="0">IFERROR(N12/$J12,"-")</f>
        <v>0.57836662082800794</v>
      </c>
      <c r="AG12" s="749">
        <f t="shared" ref="AG12:AG15" si="1">IFERROR(P12/$J12,"-")</f>
        <v>0.28740787238517418</v>
      </c>
      <c r="AH12" s="749">
        <f t="shared" ref="AH12:AH15" si="2">IFERROR(U12/$J12,"-")</f>
        <v>0.20524815324133244</v>
      </c>
      <c r="AI12" s="749">
        <f t="shared" ref="AI12:AI15" si="3">IFERROR(Y12/$J12,"-")</f>
        <v>0.15236467295465209</v>
      </c>
      <c r="AJ12" s="750"/>
      <c r="AK12" s="749">
        <f t="shared" ref="AK12:AK15" si="4">IFERROR((K12-I12)/I12,"-")</f>
        <v>7.4662974730817358E-2</v>
      </c>
      <c r="AL12" s="749">
        <f t="shared" ref="AL12:AL15" si="5">IFERROR((L12-J12)/J12,"-")</f>
        <v>7.4035365873388229E-2</v>
      </c>
      <c r="AM12" s="749">
        <f t="shared" ref="AM12:AM15" si="6">IFERROR((Q12-O12)/O12,"-")</f>
        <v>9.047122977532851E-2</v>
      </c>
      <c r="AN12" s="749">
        <f t="shared" ref="AN12:AN15" si="7">IFERROR((R12-P12)/P12,"-")</f>
        <v>3.3584749491245916E-2</v>
      </c>
      <c r="AO12" s="751">
        <f t="shared" ref="AO12:AO15" si="8">IFERROR((AB12-Z12)/Z12,"-")</f>
        <v>8.6705202312138671E-2</v>
      </c>
      <c r="AP12" s="751">
        <f t="shared" ref="AP12:AP15" si="9">IFERROR((AC12-AA12)/AA12,"-")</f>
        <v>0.10928961748633864</v>
      </c>
      <c r="AQ12" s="39"/>
      <c r="AR12" s="692">
        <v>1.08</v>
      </c>
      <c r="AS12" s="39"/>
      <c r="AT12" s="749">
        <f>IFERROR((Y12+CO12)/(CG12+CJ12),"-")</f>
        <v>0.12538847706378353</v>
      </c>
      <c r="AU12" s="749">
        <f>IFERROR(Y12/(CG12-CJ12),"-")</f>
        <v>0.29914626824224994</v>
      </c>
      <c r="AV12" s="749">
        <f>IFERROR(Y12/CG12,"-")</f>
        <v>0.16955978107521114</v>
      </c>
      <c r="AW12" s="749">
        <f>IFERROR(CS12/D12,"-")</f>
        <v>4.3552885646856894E-2</v>
      </c>
      <c r="AX12" s="20"/>
      <c r="AY12" s="749">
        <f t="shared" ref="AY12:AY15" si="10">IFERROR(CJ12/(CG12+CJ12),"-")</f>
        <v>0.30225469253761439</v>
      </c>
      <c r="AZ12" s="766">
        <f>IFERROR(CJ12/P12,"-")</f>
        <v>1.3543749248521022</v>
      </c>
      <c r="BA12" s="766">
        <f>IFERROR((CJ12-CI12)/P12,"-")</f>
        <v>0.31844956883682535</v>
      </c>
      <c r="BB12" s="18"/>
      <c r="BC12" s="766">
        <f>IFERROR(P12/CO12,"-")</f>
        <v>31.525805599802379</v>
      </c>
      <c r="BD12" s="766">
        <f>IFERROR(P12/CP12,"-")</f>
        <v>6.1683916666666665</v>
      </c>
      <c r="BE12" s="766">
        <f>IFERROR(U12/CO12,"-")</f>
        <v>22.513695693529932</v>
      </c>
      <c r="BF12" s="20"/>
      <c r="BG12" s="615" t="s">
        <v>24</v>
      </c>
      <c r="BH12" s="615" t="s">
        <v>3657</v>
      </c>
      <c r="BI12" s="693"/>
      <c r="BJ12" s="764">
        <f t="shared" ref="BJ12:BJ14" si="11">IFERROR($G12/J12,"-")</f>
        <v>3.4595840644545466</v>
      </c>
      <c r="BK12" s="764">
        <f t="shared" ref="BK12:BK14" si="12">IFERROR($G12/L12,"-")</f>
        <v>3.2211081444615828</v>
      </c>
      <c r="BL12" s="764">
        <f t="shared" ref="BL12:BL14" si="13">IFERROR($G12/M12,"-")</f>
        <v>2.9926157440662786</v>
      </c>
      <c r="BM12" s="764"/>
      <c r="BN12" s="764">
        <f t="shared" ref="BN12:BN14" si="14">IFERROR($G12/P12,"-")</f>
        <v>12.037193121203483</v>
      </c>
      <c r="BO12" s="764">
        <f t="shared" ref="BO12:BO13" si="15">IFERROR($G12/R12,"-")</f>
        <v>11.646063012373649</v>
      </c>
      <c r="BP12" s="764">
        <f t="shared" ref="BP12:BP13" si="16">IFERROR($G12/S12,"-")</f>
        <v>10.751365065561901</v>
      </c>
      <c r="BQ12" s="764">
        <f t="shared" ref="BQ12:BQ14" si="17">IFERROR($G12/U12,"-")</f>
        <v>16.855616042433958</v>
      </c>
      <c r="BR12" s="764">
        <f t="shared" ref="BR12:BR14" si="18">IFERROR($G12/V12,"-")</f>
        <v>16.855616042433958</v>
      </c>
      <c r="BS12" s="764">
        <f t="shared" ref="BS12:BS14" si="19">IFERROR($G12/X12,"-")</f>
        <v>15.055786766925763</v>
      </c>
      <c r="BT12" s="43"/>
      <c r="BU12" s="720">
        <f t="shared" ref="BU12:BU14" si="20">IFERROR(AG12,"-")</f>
        <v>0.28740787238517418</v>
      </c>
      <c r="BV12" s="782">
        <f t="shared" ref="BV12:BV14" si="21">IFERROR(CJ12/P12,"-")</f>
        <v>1.3543749248521022</v>
      </c>
      <c r="BW12" s="43"/>
      <c r="BX12" s="764">
        <f t="shared" ref="BX12:BX14" si="22">IFERROR(D12/AA12,"-")</f>
        <v>25.469945355191257</v>
      </c>
      <c r="BY12" s="764">
        <f t="shared" ref="BY12:BY14" si="23">IFERROR(D12/Z12,"-")</f>
        <v>26.942196531791907</v>
      </c>
      <c r="BZ12" s="764">
        <f t="shared" ref="BZ12:BZ14" si="24">IFERROR(D12/AC12,"-")</f>
        <v>22.960591133004929</v>
      </c>
      <c r="CA12" s="764">
        <f t="shared" ref="CA12:CA14" si="25">IFERROR(D12/AD12,"-")</f>
        <v>20.901345291479821</v>
      </c>
      <c r="CB12" s="43"/>
      <c r="CC12" s="720">
        <f t="shared" ref="CC12:CC14" si="26">IFERROR((BX12-BY12)/BY12,"-")</f>
        <v>-5.464480874316939E-2</v>
      </c>
      <c r="CD12" s="720">
        <f t="shared" ref="CD12:CD14" si="27">IFERROR(CR12/D12,"-")</f>
        <v>4.0549238360866768E-2</v>
      </c>
      <c r="CE12" s="777">
        <f t="shared" ref="CE12:CE14" si="28">IFERROR(CO12/P12,"-")</f>
        <v>3.1720045879058155E-2</v>
      </c>
      <c r="CF12" s="600"/>
      <c r="CG12" s="683">
        <v>34714205</v>
      </c>
      <c r="CH12" s="683">
        <v>16356066</v>
      </c>
      <c r="CI12" s="683">
        <v>11501988</v>
      </c>
      <c r="CJ12" s="683">
        <v>15037767</v>
      </c>
      <c r="CK12" s="683">
        <v>7074</v>
      </c>
      <c r="CL12" s="683">
        <v>55</v>
      </c>
      <c r="CM12" s="742">
        <f>G12-CI12</f>
        <v>122148231.13</v>
      </c>
      <c r="CN12" s="600"/>
      <c r="CO12" s="683">
        <v>352191</v>
      </c>
      <c r="CP12" s="683">
        <v>1800000</v>
      </c>
      <c r="CQ12" s="600"/>
      <c r="CR12" s="683">
        <v>1.89</v>
      </c>
      <c r="CS12" s="683">
        <v>2.0299999999999998</v>
      </c>
      <c r="CT12" s="683">
        <v>3114033</v>
      </c>
    </row>
    <row r="13" spans="2:98">
      <c r="B13" t="s">
        <v>231</v>
      </c>
      <c r="C13" s="35" t="s">
        <v>232</v>
      </c>
      <c r="D13" s="613">
        <v>15.8</v>
      </c>
      <c r="E13" s="614">
        <v>0.66</v>
      </c>
      <c r="F13" s="714">
        <f>D13*CT13</f>
        <v>6363734.4000000004</v>
      </c>
      <c r="G13" s="715">
        <f>F13+CK13+CL13-CI13</f>
        <v>7887034.4000000004</v>
      </c>
      <c r="H13" s="41"/>
      <c r="I13" s="691">
        <v>6179000</v>
      </c>
      <c r="J13" s="691">
        <v>6335300</v>
      </c>
      <c r="K13" s="691">
        <v>6335300</v>
      </c>
      <c r="L13" s="691">
        <v>6291000</v>
      </c>
      <c r="M13" s="691">
        <v>6580000</v>
      </c>
      <c r="N13" s="691">
        <v>3815900</v>
      </c>
      <c r="O13" s="691">
        <v>476600</v>
      </c>
      <c r="P13" s="691">
        <v>454000</v>
      </c>
      <c r="Q13" s="691">
        <v>454000</v>
      </c>
      <c r="R13" s="691">
        <v>888200</v>
      </c>
      <c r="S13" s="691">
        <v>976200</v>
      </c>
      <c r="T13" s="691">
        <v>311100</v>
      </c>
      <c r="U13" s="691">
        <v>260800</v>
      </c>
      <c r="V13" s="691">
        <v>260800</v>
      </c>
      <c r="W13" s="691">
        <v>695800</v>
      </c>
      <c r="X13" s="691">
        <v>771200</v>
      </c>
      <c r="Y13" s="691">
        <v>210600</v>
      </c>
      <c r="Z13" s="692">
        <v>0.62</v>
      </c>
      <c r="AA13" s="692">
        <v>0.38</v>
      </c>
      <c r="AB13" s="692">
        <v>0.52</v>
      </c>
      <c r="AC13" s="692">
        <v>1.25</v>
      </c>
      <c r="AD13" s="692">
        <v>1.42</v>
      </c>
      <c r="AE13" s="41"/>
      <c r="AF13" s="749">
        <f t="shared" si="0"/>
        <v>0.60232348902183008</v>
      </c>
      <c r="AG13" s="749">
        <f t="shared" si="1"/>
        <v>7.1661957602639187E-2</v>
      </c>
      <c r="AH13" s="749">
        <f t="shared" si="2"/>
        <v>4.1166164191119597E-2</v>
      </c>
      <c r="AI13" s="749">
        <f t="shared" si="3"/>
        <v>3.3242308967215445E-2</v>
      </c>
      <c r="AJ13" s="750"/>
      <c r="AK13" s="749">
        <f t="shared" si="4"/>
        <v>2.5295355235474996E-2</v>
      </c>
      <c r="AL13" s="749">
        <f t="shared" si="5"/>
        <v>-6.9925654665130305E-3</v>
      </c>
      <c r="AM13" s="749">
        <f t="shared" si="6"/>
        <v>-4.7419219471254721E-2</v>
      </c>
      <c r="AN13" s="749">
        <f t="shared" si="7"/>
        <v>0.95638766519823792</v>
      </c>
      <c r="AO13" s="751">
        <f t="shared" si="8"/>
        <v>-0.16129032258064513</v>
      </c>
      <c r="AP13" s="751">
        <f t="shared" si="9"/>
        <v>2.2894736842105261</v>
      </c>
      <c r="AQ13" s="39"/>
      <c r="AR13" s="692">
        <v>1.1499999999999999</v>
      </c>
      <c r="AS13" s="39"/>
      <c r="AT13" s="749">
        <f>IFERROR((Y13+CO13)/(CG13+CJ13),"-")</f>
        <v>2.3412643198367424E-2</v>
      </c>
      <c r="AU13" s="749">
        <f>IFERROR(Y13/(CG13-CJ13),"-")</f>
        <v>0.10687642730271504</v>
      </c>
      <c r="AV13" s="749">
        <f>IFERROR(Y13/CG13,"-")</f>
        <v>3.303270331738687E-2</v>
      </c>
      <c r="AW13" s="720">
        <f>IFERROR(CS13/D13,"-")</f>
        <v>0</v>
      </c>
      <c r="AX13" s="20"/>
      <c r="AY13" s="749">
        <f t="shared" si="10"/>
        <v>0.40860813505867077</v>
      </c>
      <c r="AZ13" s="766">
        <f>IFERROR(CJ13/P13,"-")</f>
        <v>9.7026431718061676</v>
      </c>
      <c r="BA13" s="766">
        <f>IFERROR((CJ13-CI13)/P13,"-")</f>
        <v>8.1828193832599112</v>
      </c>
      <c r="BB13" s="18"/>
      <c r="BC13" s="766">
        <f>IFERROR(P13/CO13,"-")</f>
        <v>10.861244019138756</v>
      </c>
      <c r="BD13" s="766">
        <f>IFERROR(P13/CP13,"-")</f>
        <v>1.7334860633829705</v>
      </c>
      <c r="BE13" s="766">
        <f>IFERROR(U13/CO13,"-")</f>
        <v>6.2392344497607652</v>
      </c>
      <c r="BF13" s="20"/>
      <c r="BG13" s="615" t="s">
        <v>3659</v>
      </c>
      <c r="BH13" s="615" t="s">
        <v>3658</v>
      </c>
      <c r="BI13" s="693"/>
      <c r="BJ13" s="764">
        <f t="shared" si="11"/>
        <v>1.2449346360866889</v>
      </c>
      <c r="BK13" s="764">
        <f t="shared" si="12"/>
        <v>1.2537012239707519</v>
      </c>
      <c r="BL13" s="764">
        <f t="shared" si="13"/>
        <v>1.1986374468085106</v>
      </c>
      <c r="BM13" s="764"/>
      <c r="BN13" s="764">
        <f t="shared" si="14"/>
        <v>17.372322466960352</v>
      </c>
      <c r="BO13" s="764">
        <f t="shared" si="15"/>
        <v>8.8797955415446967</v>
      </c>
      <c r="BP13" s="764">
        <f t="shared" si="16"/>
        <v>8.0793222700266334</v>
      </c>
      <c r="BQ13" s="764">
        <f t="shared" si="17"/>
        <v>30.241696319018406</v>
      </c>
      <c r="BR13" s="764">
        <f t="shared" si="18"/>
        <v>30.241696319018406</v>
      </c>
      <c r="BS13" s="764" t="str">
        <f>IFERROR($G13/#REF!,"-")</f>
        <v>-</v>
      </c>
      <c r="BT13" s="43"/>
      <c r="BU13" s="720">
        <f t="shared" si="20"/>
        <v>7.1661957602639187E-2</v>
      </c>
      <c r="BV13" s="782">
        <f t="shared" si="21"/>
        <v>9.7026431718061676</v>
      </c>
      <c r="BW13" s="43"/>
      <c r="BX13" s="764">
        <f t="shared" si="22"/>
        <v>41.578947368421055</v>
      </c>
      <c r="BY13" s="764">
        <f t="shared" si="23"/>
        <v>25.483870967741936</v>
      </c>
      <c r="BZ13" s="764">
        <f t="shared" si="24"/>
        <v>12.64</v>
      </c>
      <c r="CA13" s="764">
        <f t="shared" si="25"/>
        <v>11.126760563380282</v>
      </c>
      <c r="CB13" s="43"/>
      <c r="CC13" s="720">
        <f t="shared" si="26"/>
        <v>0.63157894736842113</v>
      </c>
      <c r="CD13" s="720">
        <f t="shared" si="27"/>
        <v>0</v>
      </c>
      <c r="CE13" s="777">
        <f t="shared" si="28"/>
        <v>9.2070484581497802E-2</v>
      </c>
      <c r="CF13" s="600"/>
      <c r="CG13" s="683">
        <v>6375500</v>
      </c>
      <c r="CH13" s="683">
        <v>2851100</v>
      </c>
      <c r="CI13" s="683">
        <v>690000</v>
      </c>
      <c r="CJ13" s="683">
        <v>4405000</v>
      </c>
      <c r="CK13" s="683">
        <v>258800</v>
      </c>
      <c r="CL13" s="683">
        <v>1954500</v>
      </c>
      <c r="CM13" s="742">
        <f>G13-CI13</f>
        <v>7197034.4000000004</v>
      </c>
      <c r="CN13" s="600"/>
      <c r="CO13" s="683">
        <v>41800</v>
      </c>
      <c r="CP13" s="683">
        <v>261900</v>
      </c>
      <c r="CQ13" s="600"/>
      <c r="CR13" s="683"/>
      <c r="CS13" s="683"/>
      <c r="CT13" s="683">
        <v>402768</v>
      </c>
    </row>
    <row r="14" spans="2:98">
      <c r="B14" t="s">
        <v>153</v>
      </c>
      <c r="C14" s="35" t="s">
        <v>187</v>
      </c>
      <c r="D14" s="613">
        <v>11.8</v>
      </c>
      <c r="E14" s="614">
        <v>0.45</v>
      </c>
      <c r="F14" s="714">
        <f>D14*CT14</f>
        <v>2325036.6</v>
      </c>
      <c r="G14" s="715">
        <f>F14+CK14+CL14-CI14</f>
        <v>3056572.6</v>
      </c>
      <c r="H14" s="41"/>
      <c r="I14" s="691">
        <v>4989933</v>
      </c>
      <c r="J14" s="691">
        <v>5402930</v>
      </c>
      <c r="K14" s="691">
        <v>5261770</v>
      </c>
      <c r="L14" s="691">
        <v>5329000</v>
      </c>
      <c r="M14" s="691">
        <v>5244000</v>
      </c>
      <c r="N14" s="691">
        <v>2104345</v>
      </c>
      <c r="O14" s="691">
        <v>481755</v>
      </c>
      <c r="P14" s="691">
        <v>656429</v>
      </c>
      <c r="Q14" s="691">
        <v>599625</v>
      </c>
      <c r="R14" s="691">
        <v>657100</v>
      </c>
      <c r="S14" s="691">
        <v>599600</v>
      </c>
      <c r="T14" s="691">
        <v>269256</v>
      </c>
      <c r="U14" s="691">
        <v>432251</v>
      </c>
      <c r="V14" s="691">
        <v>364412</v>
      </c>
      <c r="W14" s="691">
        <v>444900</v>
      </c>
      <c r="X14" s="691">
        <v>357700</v>
      </c>
      <c r="Y14" s="691">
        <v>231350</v>
      </c>
      <c r="Z14" s="692">
        <v>0.61</v>
      </c>
      <c r="AA14" s="692">
        <v>1.17</v>
      </c>
      <c r="AB14" s="692">
        <v>0.86</v>
      </c>
      <c r="AC14" s="692">
        <v>1.49</v>
      </c>
      <c r="AD14" s="692">
        <v>1.57</v>
      </c>
      <c r="AE14" s="41"/>
      <c r="AF14" s="749">
        <f t="shared" si="0"/>
        <v>0.38948218836816317</v>
      </c>
      <c r="AG14" s="749">
        <f t="shared" si="1"/>
        <v>0.12149500363691552</v>
      </c>
      <c r="AH14" s="749">
        <f t="shared" si="2"/>
        <v>8.0003072407008796E-2</v>
      </c>
      <c r="AI14" s="749">
        <f t="shared" si="3"/>
        <v>4.2819359125511526E-2</v>
      </c>
      <c r="AJ14" s="750"/>
      <c r="AK14" s="749">
        <f t="shared" si="4"/>
        <v>5.4477084161250258E-2</v>
      </c>
      <c r="AL14" s="749">
        <f t="shared" si="5"/>
        <v>-1.3683316274687994E-2</v>
      </c>
      <c r="AM14" s="749">
        <f t="shared" si="6"/>
        <v>0.24466793287044244</v>
      </c>
      <c r="AN14" s="749">
        <f>IFERROR((W13-P14)/P14,"-")</f>
        <v>5.9977545172440583E-2</v>
      </c>
      <c r="AO14" s="751">
        <f t="shared" si="8"/>
        <v>0.4098360655737705</v>
      </c>
      <c r="AP14" s="751">
        <f t="shared" si="9"/>
        <v>0.27350427350427359</v>
      </c>
      <c r="AQ14" s="39"/>
      <c r="AR14" s="692">
        <v>1.48</v>
      </c>
      <c r="AS14" s="39"/>
      <c r="AT14" s="749">
        <f>IFERROR((Y14+CO14)/(CG14+CJ14),"-")</f>
        <v>4.3009381380646687E-2</v>
      </c>
      <c r="AU14" s="749">
        <f>IFERROR(Y14/(CG14-CJ14),"-")</f>
        <v>0.13320788894717114</v>
      </c>
      <c r="AV14" s="749">
        <f>IFERROR(Y14/CG14,"-")</f>
        <v>6.5024147610295818E-2</v>
      </c>
      <c r="AW14" s="720">
        <f>IFERROR(CS14/D14,"-")</f>
        <v>0</v>
      </c>
      <c r="AX14" s="20"/>
      <c r="AY14" s="749">
        <f t="shared" si="10"/>
        <v>0.33856293452070335</v>
      </c>
      <c r="AZ14" s="766">
        <f>IFERROR(CJ14/P14,"-")</f>
        <v>2.7743289830278672</v>
      </c>
      <c r="BA14" s="766">
        <f>IFERROR((CJ14-CI14)/P14,"-")</f>
        <v>2.0825649080098532</v>
      </c>
      <c r="BB14" s="18"/>
      <c r="BC14" s="766" t="str">
        <f>IFERROR(P14/CO14,"-")</f>
        <v>-</v>
      </c>
      <c r="BD14" s="766">
        <f>IFERROR(P14/CP14,"-")</f>
        <v>3.3289162736447082</v>
      </c>
      <c r="BE14" s="766" t="str">
        <f>IFERROR(U14/CO14,"-")</f>
        <v>-</v>
      </c>
      <c r="BF14" s="20"/>
      <c r="BG14" s="615" t="s">
        <v>24</v>
      </c>
      <c r="BH14" s="615" t="s">
        <v>3661</v>
      </c>
      <c r="BI14" s="693"/>
      <c r="BJ14" s="764">
        <f t="shared" si="11"/>
        <v>0.56572500476593257</v>
      </c>
      <c r="BK14" s="764">
        <f t="shared" si="12"/>
        <v>0.57357339088009007</v>
      </c>
      <c r="BL14" s="764">
        <f t="shared" si="13"/>
        <v>0.58287044241037378</v>
      </c>
      <c r="BM14" s="764"/>
      <c r="BN14" s="764">
        <f t="shared" si="14"/>
        <v>4.6563643592833346</v>
      </c>
      <c r="BO14" s="764">
        <f>IFERROR($G14/W13,"-")</f>
        <v>4.3928896234550159</v>
      </c>
      <c r="BP14" s="764">
        <f>IFERROR($G14/X13,"-")</f>
        <v>3.9633980809128633</v>
      </c>
      <c r="BQ14" s="764">
        <f t="shared" si="17"/>
        <v>7.0712909860243238</v>
      </c>
      <c r="BR14" s="764">
        <f t="shared" si="18"/>
        <v>8.3876837206239099</v>
      </c>
      <c r="BS14" s="764">
        <f t="shared" si="19"/>
        <v>8.5450729661727713</v>
      </c>
      <c r="BT14" s="43"/>
      <c r="BU14" s="720">
        <f t="shared" si="20"/>
        <v>0.12149500363691552</v>
      </c>
      <c r="BV14" s="782">
        <f t="shared" si="21"/>
        <v>2.7743289830278672</v>
      </c>
      <c r="BW14" s="43"/>
      <c r="BX14" s="764">
        <f t="shared" si="22"/>
        <v>10.085470085470087</v>
      </c>
      <c r="BY14" s="764">
        <f t="shared" si="23"/>
        <v>19.344262295081968</v>
      </c>
      <c r="BZ14" s="764">
        <f t="shared" si="24"/>
        <v>7.9194630872483227</v>
      </c>
      <c r="CA14" s="764">
        <f t="shared" si="25"/>
        <v>7.515923566878981</v>
      </c>
      <c r="CB14" s="43"/>
      <c r="CC14" s="720">
        <f t="shared" si="26"/>
        <v>-0.4786324786324786</v>
      </c>
      <c r="CD14" s="720">
        <f t="shared" si="27"/>
        <v>0</v>
      </c>
      <c r="CE14" s="777">
        <f t="shared" si="28"/>
        <v>0</v>
      </c>
      <c r="CF14" s="600"/>
      <c r="CG14" s="683">
        <v>3557909</v>
      </c>
      <c r="CH14" s="683">
        <v>1433350</v>
      </c>
      <c r="CI14" s="683">
        <v>454094</v>
      </c>
      <c r="CJ14" s="683">
        <v>1821150</v>
      </c>
      <c r="CK14" s="683">
        <v>284508</v>
      </c>
      <c r="CL14" s="683">
        <v>901122</v>
      </c>
      <c r="CM14" s="742">
        <f>G14-CI14</f>
        <v>2602478.6</v>
      </c>
      <c r="CN14" s="600"/>
      <c r="CO14" s="683">
        <v>0</v>
      </c>
      <c r="CP14" s="683">
        <v>197190</v>
      </c>
      <c r="CQ14" s="600"/>
      <c r="CR14" s="683"/>
      <c r="CS14" s="683"/>
      <c r="CT14" s="683">
        <v>197037</v>
      </c>
    </row>
    <row r="15" spans="2:98">
      <c r="B15" t="s">
        <v>154</v>
      </c>
      <c r="C15" s="35" t="s">
        <v>188</v>
      </c>
      <c r="D15" s="613">
        <v>82.89</v>
      </c>
      <c r="E15" s="614">
        <v>0.42</v>
      </c>
      <c r="F15" s="714">
        <f>D15*CT15</f>
        <v>4431796.74</v>
      </c>
      <c r="G15" s="715">
        <f>F15+CK15+CL15-CI15</f>
        <v>4579280.74</v>
      </c>
      <c r="H15" s="41"/>
      <c r="I15" s="691">
        <v>3697751</v>
      </c>
      <c r="J15" s="691">
        <v>4186557</v>
      </c>
      <c r="K15" s="691">
        <v>4280677</v>
      </c>
      <c r="L15" s="691">
        <v>4949000</v>
      </c>
      <c r="M15" s="691">
        <v>5183000</v>
      </c>
      <c r="N15" s="691">
        <v>3114200</v>
      </c>
      <c r="O15" s="691">
        <v>229495</v>
      </c>
      <c r="P15" s="691">
        <v>901751</v>
      </c>
      <c r="Q15" s="691">
        <v>655755</v>
      </c>
      <c r="R15" s="691">
        <v>894600</v>
      </c>
      <c r="S15" s="691">
        <v>918500</v>
      </c>
      <c r="T15" s="691">
        <v>97252</v>
      </c>
      <c r="U15" s="691">
        <v>749584</v>
      </c>
      <c r="V15" s="691">
        <v>514651</v>
      </c>
      <c r="W15" s="691">
        <v>740800</v>
      </c>
      <c r="X15" s="691">
        <v>751200</v>
      </c>
      <c r="Y15" s="691">
        <v>537444</v>
      </c>
      <c r="Z15" s="692">
        <v>0.05</v>
      </c>
      <c r="AA15" s="692">
        <v>10.1</v>
      </c>
      <c r="AB15" s="692">
        <v>6.22</v>
      </c>
      <c r="AC15" s="692">
        <v>10.69</v>
      </c>
      <c r="AD15" s="692">
        <v>10.89</v>
      </c>
      <c r="AE15" s="41"/>
      <c r="AF15" s="749">
        <f t="shared" si="0"/>
        <v>0.74385706440877308</v>
      </c>
      <c r="AG15" s="749">
        <f t="shared" si="1"/>
        <v>0.21539202738670463</v>
      </c>
      <c r="AH15" s="749">
        <f t="shared" si="2"/>
        <v>0.17904545429573751</v>
      </c>
      <c r="AI15" s="749">
        <f t="shared" si="3"/>
        <v>0.12837374482181899</v>
      </c>
      <c r="AJ15" s="750"/>
      <c r="AK15" s="749">
        <f t="shared" si="4"/>
        <v>0.15764338918439885</v>
      </c>
      <c r="AL15" s="749">
        <f t="shared" si="5"/>
        <v>0.18211695194882097</v>
      </c>
      <c r="AM15" s="749">
        <f t="shared" si="6"/>
        <v>1.8573825137802566</v>
      </c>
      <c r="AN15" s="749">
        <f t="shared" si="7"/>
        <v>-7.9301270528116963E-3</v>
      </c>
      <c r="AO15" s="751">
        <f t="shared" si="8"/>
        <v>123.39999999999999</v>
      </c>
      <c r="AP15" s="751">
        <f t="shared" si="9"/>
        <v>5.8415841584158405E-2</v>
      </c>
      <c r="AQ15" s="39"/>
      <c r="AR15" s="692">
        <v>1.46</v>
      </c>
      <c r="AS15" s="39"/>
      <c r="AT15" s="749">
        <f>IFERROR((Y15+CO15)/(CG15+CJ15),"-")</f>
        <v>0.1134378651005751</v>
      </c>
      <c r="AU15" s="749">
        <f>IFERROR(Y15/(CG15-CJ15),"-")</f>
        <v>0.51185776585805343</v>
      </c>
      <c r="AV15" s="749">
        <f>IFERROR(Y15/CG15,"-")</f>
        <v>0.18070003257982814</v>
      </c>
      <c r="AW15" s="720">
        <f>IFERROR(CS15/D15,"-")</f>
        <v>0</v>
      </c>
      <c r="AX15" s="20"/>
      <c r="AY15" s="749">
        <f t="shared" si="10"/>
        <v>0.39282520145539052</v>
      </c>
      <c r="AZ15" s="766">
        <f>IFERROR(CJ15/P15,"-")</f>
        <v>2.1338994911012019</v>
      </c>
      <c r="BA15" s="766">
        <f>IFERROR((CJ15-CI15)/P15,"-")</f>
        <v>1.1348609538553325</v>
      </c>
      <c r="BB15" s="18"/>
      <c r="BC15" s="766">
        <f>IFERROR(P15/CO15,"-")</f>
        <v>49.467935706840748</v>
      </c>
      <c r="BD15" s="766">
        <f>IFERROR(P15/CP15,"-")</f>
        <v>5.5927398347763528</v>
      </c>
      <c r="BE15" s="766">
        <f>IFERROR(U15/CO15,"-")</f>
        <v>41.120412529485982</v>
      </c>
      <c r="BF15" s="20"/>
      <c r="BG15" s="615" t="s">
        <v>3662</v>
      </c>
      <c r="BH15" s="615" t="s">
        <v>3661</v>
      </c>
      <c r="BI15" s="693"/>
      <c r="BJ15" s="764">
        <f>IFERROR($G15/J15,"-")</f>
        <v>1.0938058982595962</v>
      </c>
      <c r="BK15" s="764">
        <f>IFERROR($G15/L15,"-")</f>
        <v>0.92529414831279055</v>
      </c>
      <c r="BL15" s="764">
        <f>IFERROR($G15/M15,"-")</f>
        <v>0.88351934015049205</v>
      </c>
      <c r="BM15" s="764"/>
      <c r="BN15" s="764">
        <f>IFERROR($G15/P15,"-")</f>
        <v>5.0782097718771588</v>
      </c>
      <c r="BO15" s="764">
        <f>IFERROR($G15/R15,"-")</f>
        <v>5.1188025262687233</v>
      </c>
      <c r="BP15" s="764">
        <f>IFERROR($G15/S15,"-")</f>
        <v>4.9856077735438218</v>
      </c>
      <c r="BQ15" s="764">
        <f>IFERROR($G15/U15,"-")</f>
        <v>6.1090961653397091</v>
      </c>
      <c r="BR15" s="764">
        <f>IFERROR($G15/V15,"-")</f>
        <v>8.897837058511497</v>
      </c>
      <c r="BS15" s="764">
        <f>IFERROR($G15/X15,"-")</f>
        <v>6.0959541267305646</v>
      </c>
      <c r="BT15" s="43"/>
      <c r="BU15" s="720">
        <f>IFERROR(AG15,"-")</f>
        <v>0.21539202738670463</v>
      </c>
      <c r="BV15" s="782">
        <f>IFERROR(CJ15/P15,"-")</f>
        <v>2.1338994911012019</v>
      </c>
      <c r="BW15" s="43"/>
      <c r="BX15" s="764">
        <f>IFERROR(D15/AA15,"-")</f>
        <v>8.2069306930693067</v>
      </c>
      <c r="BY15" s="764">
        <f>IFERROR(D15/Z15,"-")</f>
        <v>1657.8</v>
      </c>
      <c r="BZ15" s="764">
        <f>IFERROR(D15/AC15,"-")</f>
        <v>7.7539756782039291</v>
      </c>
      <c r="CA15" s="764">
        <f>IFERROR(D15/AD15,"-")</f>
        <v>7.6115702479338836</v>
      </c>
      <c r="CB15" s="43"/>
      <c r="CC15" s="720">
        <f>IFERROR((BX15-BY15)/BY15,"-")</f>
        <v>-0.99504950495049505</v>
      </c>
      <c r="CD15" s="720">
        <f>IFERROR(CR15/D15,"-")</f>
        <v>0</v>
      </c>
      <c r="CE15" s="777">
        <f>IFERROR(CO15/P15,"-")</f>
        <v>2.0215114815508937E-2</v>
      </c>
      <c r="CF15" s="600"/>
      <c r="CG15" s="683">
        <v>2974233</v>
      </c>
      <c r="CH15" s="683">
        <v>1537265</v>
      </c>
      <c r="CI15" s="683">
        <v>900884</v>
      </c>
      <c r="CJ15" s="683">
        <v>1924246</v>
      </c>
      <c r="CK15" s="683">
        <v>179625</v>
      </c>
      <c r="CL15" s="683">
        <v>868743</v>
      </c>
      <c r="CM15" s="742">
        <f>G15-CI15</f>
        <v>3678396.74</v>
      </c>
      <c r="CN15" s="600"/>
      <c r="CO15" s="683">
        <v>18229</v>
      </c>
      <c r="CP15" s="683">
        <v>161236</v>
      </c>
      <c r="CQ15" s="600"/>
      <c r="CR15" s="683"/>
      <c r="CS15" s="683"/>
      <c r="CT15" s="683">
        <v>53466</v>
      </c>
    </row>
    <row r="16" spans="2:98">
      <c r="D16" s="32"/>
      <c r="E16" s="32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39"/>
      <c r="AG16" s="39"/>
      <c r="AH16" s="39"/>
      <c r="AI16" s="39"/>
      <c r="AJ16" s="20"/>
      <c r="AK16" s="20"/>
      <c r="AL16" s="20"/>
      <c r="AM16" s="20"/>
      <c r="AN16" s="20"/>
      <c r="AO16" s="21"/>
      <c r="AP16" s="21"/>
      <c r="AQ16" s="20"/>
      <c r="AR16" s="20"/>
      <c r="AS16" s="20"/>
      <c r="AT16" s="21"/>
      <c r="AU16" s="21"/>
      <c r="AV16" s="21"/>
      <c r="AW16" s="20"/>
      <c r="AX16" s="20"/>
      <c r="AY16" s="21"/>
      <c r="AZ16" s="695"/>
      <c r="BA16" s="695"/>
      <c r="BB16" s="20"/>
      <c r="BC16" s="695"/>
      <c r="BD16" s="695"/>
      <c r="BE16" s="695"/>
      <c r="BF16" s="20"/>
      <c r="BG16" s="20"/>
      <c r="BH16" s="20"/>
      <c r="BI16" s="49"/>
      <c r="BJ16" s="695"/>
      <c r="BK16" s="695"/>
      <c r="BL16" s="695"/>
      <c r="BM16" s="695"/>
      <c r="BN16" s="695"/>
      <c r="BO16" s="695"/>
      <c r="BP16" s="695"/>
      <c r="BQ16" s="695"/>
      <c r="BR16" s="695"/>
      <c r="BS16" s="695"/>
      <c r="BT16" s="20"/>
      <c r="BU16" s="20"/>
      <c r="BV16" s="695"/>
      <c r="BW16" s="20"/>
      <c r="BX16" s="695"/>
      <c r="BY16" s="695"/>
      <c r="BZ16" s="695"/>
      <c r="CA16" s="695"/>
      <c r="CB16" s="20"/>
      <c r="CC16" s="21"/>
      <c r="CD16" s="21"/>
      <c r="CE16" s="21"/>
    </row>
    <row r="17" spans="2:98">
      <c r="B17" s="51" t="s">
        <v>219</v>
      </c>
      <c r="C17" s="52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3"/>
      <c r="AF17" s="752">
        <f>IFERROR(AVERAGE(AF11:AF15),"-")</f>
        <v>0.54535923325715918</v>
      </c>
      <c r="AG17" s="752">
        <f t="shared" ref="AG17:CR17" si="29">IFERROR(AVERAGE(AG11:AG15),"-")</f>
        <v>0.16204699993660993</v>
      </c>
      <c r="AH17" s="752">
        <f t="shared" si="29"/>
        <v>0.11731953422542227</v>
      </c>
      <c r="AI17" s="752">
        <f t="shared" si="29"/>
        <v>7.8015194159123974E-2</v>
      </c>
      <c r="AJ17" s="753"/>
      <c r="AK17" s="752">
        <f t="shared" si="29"/>
        <v>6.5062009570978532E-2</v>
      </c>
      <c r="AL17" s="752">
        <f t="shared" si="29"/>
        <v>4.9985383994671742E-2</v>
      </c>
      <c r="AM17" s="752">
        <f t="shared" si="29"/>
        <v>0.52422597084300937</v>
      </c>
      <c r="AN17" s="752">
        <f t="shared" si="29"/>
        <v>0.20770791087736779</v>
      </c>
      <c r="AO17" s="752">
        <f t="shared" si="29"/>
        <v>24.876461953766935</v>
      </c>
      <c r="AP17" s="752">
        <f t="shared" si="29"/>
        <v>0.55886395608433204</v>
      </c>
      <c r="AQ17" s="700"/>
      <c r="AR17" s="718">
        <f t="shared" si="29"/>
        <v>1.508</v>
      </c>
      <c r="AS17" s="700"/>
      <c r="AT17" s="752">
        <f t="shared" si="29"/>
        <v>6.6794333448157633E-2</v>
      </c>
      <c r="AU17" s="752">
        <f t="shared" si="29"/>
        <v>0.24097747399160654</v>
      </c>
      <c r="AV17" s="752">
        <f t="shared" si="29"/>
        <v>9.811095597081447E-2</v>
      </c>
      <c r="AW17" s="752">
        <f t="shared" si="29"/>
        <v>1.5127689428836622E-2</v>
      </c>
      <c r="AX17" s="700"/>
      <c r="AY17" s="752">
        <f t="shared" si="29"/>
        <v>0.37253290021471963</v>
      </c>
      <c r="AZ17" s="761">
        <f t="shared" si="29"/>
        <v>4.19316532343821</v>
      </c>
      <c r="BA17" s="761">
        <f t="shared" si="29"/>
        <v>3.047103231933916</v>
      </c>
      <c r="BB17" s="700"/>
      <c r="BC17" s="761">
        <f t="shared" si="29"/>
        <v>27.917769319951216</v>
      </c>
      <c r="BD17" s="761">
        <f t="shared" si="29"/>
        <v>4.1483431313305035</v>
      </c>
      <c r="BE17" s="761">
        <f t="shared" si="29"/>
        <v>20.985577047504513</v>
      </c>
      <c r="BF17" s="700"/>
      <c r="BG17" s="700"/>
      <c r="BH17" s="700"/>
      <c r="BI17" s="700"/>
      <c r="BJ17" s="761">
        <f t="shared" si="29"/>
        <v>1.4161995534854595</v>
      </c>
      <c r="BK17" s="761">
        <f t="shared" si="29"/>
        <v>1.3360824803227429</v>
      </c>
      <c r="BL17" s="761">
        <f t="shared" si="29"/>
        <v>1.2682480991745537</v>
      </c>
      <c r="BM17" s="767"/>
      <c r="BN17" s="761">
        <f t="shared" si="29"/>
        <v>9.0835604032616182</v>
      </c>
      <c r="BO17" s="761">
        <f t="shared" si="29"/>
        <v>7.2666347041742849</v>
      </c>
      <c r="BP17" s="761">
        <f t="shared" si="29"/>
        <v>6.7296640856487615</v>
      </c>
      <c r="BQ17" s="761">
        <f t="shared" si="29"/>
        <v>13.822840556158051</v>
      </c>
      <c r="BR17" s="761">
        <f t="shared" si="29"/>
        <v>14.643867281712327</v>
      </c>
      <c r="BS17" s="761">
        <f t="shared" si="29"/>
        <v>9.5284602742957958</v>
      </c>
      <c r="BT17" s="700"/>
      <c r="BU17" s="752">
        <f t="shared" si="29"/>
        <v>0.16204699993660993</v>
      </c>
      <c r="BV17" s="761">
        <f t="shared" si="29"/>
        <v>4.19316532343821</v>
      </c>
      <c r="BW17" s="700"/>
      <c r="BX17" s="761">
        <f t="shared" si="29"/>
        <v>18.938258700430342</v>
      </c>
      <c r="BY17" s="761">
        <f t="shared" si="29"/>
        <v>348.93906595892315</v>
      </c>
      <c r="BZ17" s="761">
        <f t="shared" si="29"/>
        <v>12.012925637811096</v>
      </c>
      <c r="CA17" s="761">
        <f t="shared" si="29"/>
        <v>11.038151183934593</v>
      </c>
      <c r="CB17" s="700"/>
      <c r="CC17" s="752">
        <f t="shared" si="29"/>
        <v>-0.25571320535518077</v>
      </c>
      <c r="CD17" s="752">
        <f t="shared" si="29"/>
        <v>1.3846357151998339E-2</v>
      </c>
      <c r="CE17" s="752">
        <f t="shared" si="29"/>
        <v>3.8893936479806948E-2</v>
      </c>
      <c r="CF17" s="700"/>
      <c r="CG17" s="700"/>
      <c r="CH17" s="700"/>
      <c r="CI17" s="700"/>
      <c r="CJ17" s="700"/>
      <c r="CK17" s="700"/>
      <c r="CL17" s="700"/>
      <c r="CM17" s="700"/>
      <c r="CN17" s="700"/>
      <c r="CO17" s="700"/>
      <c r="CP17" s="700"/>
      <c r="CQ17" s="700"/>
      <c r="CR17" s="718">
        <f t="shared" si="29"/>
        <v>1.24</v>
      </c>
      <c r="CS17" s="718">
        <f t="shared" ref="CS17" si="30">IFERROR(AVERAGE(CS11:CS15),"-")</f>
        <v>1.345</v>
      </c>
      <c r="CT17" s="746"/>
    </row>
    <row r="18" spans="2:98">
      <c r="B18" s="54" t="s">
        <v>170</v>
      </c>
      <c r="C18" s="55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6"/>
      <c r="AF18" s="754">
        <f>IFERROR(MEDIAN(AF11:AF15),"-")</f>
        <v>0.57836662082800794</v>
      </c>
      <c r="AG18" s="754">
        <f t="shared" ref="AG18:CR18" si="31">IFERROR(MEDIAN(AG11:AG15),"-")</f>
        <v>0.12149500363691552</v>
      </c>
      <c r="AH18" s="754">
        <f t="shared" si="31"/>
        <v>8.1134826991913031E-2</v>
      </c>
      <c r="AI18" s="754">
        <f t="shared" si="31"/>
        <v>4.2819359125511526E-2</v>
      </c>
      <c r="AJ18" s="755"/>
      <c r="AK18" s="754">
        <f t="shared" si="31"/>
        <v>5.4477084161250258E-2</v>
      </c>
      <c r="AL18" s="754">
        <f t="shared" si="31"/>
        <v>1.4450483892350523E-2</v>
      </c>
      <c r="AM18" s="754">
        <f t="shared" si="31"/>
        <v>0.24466793287044244</v>
      </c>
      <c r="AN18" s="754">
        <f t="shared" si="31"/>
        <v>3.3584749491245916E-2</v>
      </c>
      <c r="AO18" s="754">
        <f t="shared" si="31"/>
        <v>0.4098360655737705</v>
      </c>
      <c r="AP18" s="754">
        <f t="shared" si="31"/>
        <v>0.10928961748633864</v>
      </c>
      <c r="AQ18" s="701"/>
      <c r="AR18" s="719">
        <f t="shared" si="31"/>
        <v>1.46</v>
      </c>
      <c r="AS18" s="701"/>
      <c r="AT18" s="754">
        <f t="shared" si="31"/>
        <v>4.3009381380646687E-2</v>
      </c>
      <c r="AU18" s="754">
        <f t="shared" si="31"/>
        <v>0.15379901960784315</v>
      </c>
      <c r="AV18" s="754">
        <f t="shared" si="31"/>
        <v>6.5024147610295818E-2</v>
      </c>
      <c r="AW18" s="754">
        <f t="shared" si="31"/>
        <v>0</v>
      </c>
      <c r="AX18" s="701"/>
      <c r="AY18" s="754">
        <f t="shared" si="31"/>
        <v>0.39282520145539052</v>
      </c>
      <c r="AZ18" s="762">
        <f t="shared" si="31"/>
        <v>2.7743289830278672</v>
      </c>
      <c r="BA18" s="762">
        <f t="shared" si="31"/>
        <v>2.0825649080098532</v>
      </c>
      <c r="BB18" s="701"/>
      <c r="BC18" s="762">
        <f t="shared" si="31"/>
        <v>25.670948776912681</v>
      </c>
      <c r="BD18" s="762">
        <f t="shared" si="31"/>
        <v>3.918181818181818</v>
      </c>
      <c r="BE18" s="762">
        <f t="shared" si="31"/>
        <v>18.291330605385657</v>
      </c>
      <c r="BF18" s="701"/>
      <c r="BG18" s="701"/>
      <c r="BH18" s="701"/>
      <c r="BI18" s="701"/>
      <c r="BJ18" s="762">
        <f t="shared" si="31"/>
        <v>1.0938058982595962</v>
      </c>
      <c r="BK18" s="762">
        <f t="shared" si="31"/>
        <v>0.92529414831279055</v>
      </c>
      <c r="BL18" s="762">
        <f t="shared" si="31"/>
        <v>0.88351934015049205</v>
      </c>
      <c r="BM18" s="768"/>
      <c r="BN18" s="762">
        <f t="shared" si="31"/>
        <v>6.2737122969837591</v>
      </c>
      <c r="BO18" s="762">
        <f t="shared" si="31"/>
        <v>6.2956228172293365</v>
      </c>
      <c r="BP18" s="762">
        <f t="shared" si="31"/>
        <v>5.8686272381985889</v>
      </c>
      <c r="BQ18" s="762">
        <f t="shared" si="31"/>
        <v>8.8365032679738569</v>
      </c>
      <c r="BR18" s="762">
        <f t="shared" si="31"/>
        <v>8.897837058511497</v>
      </c>
      <c r="BS18" s="762">
        <f t="shared" si="31"/>
        <v>8.4810501017634294</v>
      </c>
      <c r="BT18" s="701"/>
      <c r="BU18" s="754">
        <f t="shared" si="31"/>
        <v>0.12149500363691552</v>
      </c>
      <c r="BV18" s="762">
        <f t="shared" si="31"/>
        <v>2.7743289830278672</v>
      </c>
      <c r="BW18" s="701"/>
      <c r="BX18" s="762">
        <f t="shared" si="31"/>
        <v>10.085470085470087</v>
      </c>
      <c r="BY18" s="762">
        <f t="shared" si="31"/>
        <v>25.483870967741936</v>
      </c>
      <c r="BZ18" s="762">
        <f t="shared" si="31"/>
        <v>8.7905982905982913</v>
      </c>
      <c r="CA18" s="762">
        <f t="shared" si="31"/>
        <v>8.03515625</v>
      </c>
      <c r="CB18" s="701"/>
      <c r="CC18" s="754">
        <f t="shared" si="31"/>
        <v>-0.38181818181818183</v>
      </c>
      <c r="CD18" s="754">
        <f t="shared" si="31"/>
        <v>0</v>
      </c>
      <c r="CE18" s="754">
        <f t="shared" si="31"/>
        <v>3.1720045879058155E-2</v>
      </c>
      <c r="CF18" s="701"/>
      <c r="CG18" s="701"/>
      <c r="CH18" s="701"/>
      <c r="CI18" s="701"/>
      <c r="CJ18" s="701"/>
      <c r="CK18" s="701"/>
      <c r="CL18" s="701"/>
      <c r="CM18" s="701"/>
      <c r="CN18" s="701"/>
      <c r="CO18" s="701"/>
      <c r="CP18" s="701"/>
      <c r="CQ18" s="701"/>
      <c r="CR18" s="719">
        <f t="shared" si="31"/>
        <v>1.2399999999999998</v>
      </c>
      <c r="CS18" s="719">
        <f t="shared" ref="CS18" si="32">IFERROR(MEDIAN(CS11:CS15),"-")</f>
        <v>1.3449999999999998</v>
      </c>
      <c r="CT18" s="747"/>
    </row>
    <row r="19" spans="2:98">
      <c r="D19" s="32"/>
      <c r="E19" s="32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9"/>
      <c r="AG19" s="39"/>
      <c r="AH19" s="39"/>
      <c r="AI19" s="39"/>
      <c r="AJ19" s="20"/>
      <c r="AK19" s="20"/>
      <c r="AL19" s="20"/>
      <c r="AM19" s="20"/>
      <c r="AN19" s="20"/>
      <c r="AO19" s="21"/>
      <c r="AP19" s="21"/>
      <c r="AQ19" s="20"/>
      <c r="AR19" s="20"/>
      <c r="AS19" s="20"/>
      <c r="AT19" s="21"/>
      <c r="AU19" s="21"/>
      <c r="AV19" s="21"/>
      <c r="AW19" s="20"/>
      <c r="AX19" s="20"/>
      <c r="AY19" s="21"/>
      <c r="AZ19" s="20"/>
      <c r="BA19" s="20"/>
      <c r="BB19" s="20"/>
      <c r="BC19" s="20"/>
      <c r="BD19" s="20"/>
      <c r="BE19" s="20"/>
      <c r="BF19" s="20"/>
      <c r="BG19" s="20"/>
      <c r="BH19" s="20"/>
      <c r="BI19" s="49"/>
      <c r="BJ19" s="695"/>
      <c r="BK19" s="695"/>
      <c r="BL19" s="695"/>
      <c r="BM19" s="695"/>
      <c r="BN19" s="695"/>
      <c r="BO19" s="695"/>
      <c r="BP19" s="695"/>
      <c r="BQ19" s="695"/>
      <c r="BR19" s="695"/>
      <c r="BS19" s="695"/>
      <c r="BT19" s="20"/>
      <c r="BU19" s="771"/>
      <c r="BV19" s="695"/>
      <c r="BW19" s="20"/>
      <c r="BX19" s="695"/>
      <c r="BY19" s="695"/>
      <c r="BZ19" s="695"/>
      <c r="CA19" s="695"/>
      <c r="CB19" s="20"/>
      <c r="CC19" s="21"/>
      <c r="CD19" s="21"/>
      <c r="CE19" s="21"/>
    </row>
    <row r="20" spans="2:98">
      <c r="B20" s="178" t="s">
        <v>194</v>
      </c>
      <c r="C20" s="178"/>
      <c r="D20" s="179"/>
      <c r="E20" s="179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765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763"/>
      <c r="BK20" s="763"/>
      <c r="BL20" s="763"/>
      <c r="BM20" s="763"/>
      <c r="BN20" s="763"/>
      <c r="BO20" s="763"/>
      <c r="BP20" s="763"/>
      <c r="BQ20" s="763"/>
      <c r="BR20" s="763"/>
      <c r="BS20" s="763"/>
      <c r="BT20" s="178"/>
      <c r="BU20" s="772"/>
      <c r="BV20" s="763"/>
      <c r="BW20" s="178"/>
      <c r="BX20" s="763"/>
      <c r="BY20" s="763"/>
      <c r="BZ20" s="763"/>
      <c r="CA20" s="763"/>
      <c r="CB20" s="178"/>
      <c r="CC20" s="765"/>
      <c r="CD20" s="765"/>
      <c r="CE20" s="765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</row>
    <row r="21" spans="2:98">
      <c r="B21" t="s">
        <v>224</v>
      </c>
      <c r="C21" s="32" t="s">
        <v>235</v>
      </c>
      <c r="D21" s="613"/>
      <c r="E21" s="614"/>
      <c r="F21" s="714">
        <f>D21*CT21</f>
        <v>0</v>
      </c>
      <c r="G21" s="715">
        <f>F21+CK21+CL21-CI21</f>
        <v>0</v>
      </c>
      <c r="H21" s="41"/>
      <c r="I21" s="685"/>
      <c r="J21" s="685"/>
      <c r="K21" s="685"/>
      <c r="L21" s="685"/>
      <c r="M21" s="685"/>
      <c r="N21" s="685"/>
      <c r="O21" s="685"/>
      <c r="P21" s="685"/>
      <c r="Q21" s="685"/>
      <c r="R21" s="685"/>
      <c r="S21" s="685"/>
      <c r="T21" s="685"/>
      <c r="U21" s="685"/>
      <c r="V21" s="685"/>
      <c r="W21" s="685"/>
      <c r="X21" s="685"/>
      <c r="Y21" s="685"/>
      <c r="Z21" s="686"/>
      <c r="AA21" s="686"/>
      <c r="AB21" s="686"/>
      <c r="AC21" s="686"/>
      <c r="AD21" s="686"/>
      <c r="AE21" s="684"/>
      <c r="AF21" s="720" t="str">
        <f>IFERROR(N21/$J21,"-")</f>
        <v>-</v>
      </c>
      <c r="AG21" s="720" t="str">
        <f>IFERROR(P21/$J21,"-")</f>
        <v>-</v>
      </c>
      <c r="AH21" s="720" t="str">
        <f>IFERROR(U21/$J21,"-")</f>
        <v>-</v>
      </c>
      <c r="AI21" s="720" t="str">
        <f>IFERROR(Y21/$J21,"-")</f>
        <v>-</v>
      </c>
      <c r="AJ21" s="687"/>
      <c r="AK21" s="720" t="str">
        <f>IFERROR((K21-I21)/I21,"-")</f>
        <v>-</v>
      </c>
      <c r="AL21" s="720" t="str">
        <f>IFERROR((L21-J21)/J21,"-")</f>
        <v>-</v>
      </c>
      <c r="AM21" s="720" t="str">
        <f>IFERROR((Q21-O21)/O21,"-")</f>
        <v>-</v>
      </c>
      <c r="AN21" s="720" t="str">
        <f>IFERROR((R21-P21)/P21,"-")</f>
        <v>-</v>
      </c>
      <c r="AO21" s="721" t="str">
        <f>IFERROR((AB21-Z21)/Z21,"-")</f>
        <v>-</v>
      </c>
      <c r="AP21" s="721" t="str">
        <f>IFERROR((AC21-AA21)/AA21,"-")</f>
        <v>-</v>
      </c>
      <c r="AQ21" s="687"/>
      <c r="AR21" s="686"/>
      <c r="AS21" s="687"/>
      <c r="AT21" s="720" t="str">
        <f>IFERROR((Y21+CO21)/(CG21+CJ21),"-")</f>
        <v>-</v>
      </c>
      <c r="AU21" s="720" t="str">
        <f>IFERROR(Y21/(CG21-CJ21),"-")</f>
        <v>-</v>
      </c>
      <c r="AV21" s="720" t="str">
        <f>IFERROR(Y21/CG21,"-")</f>
        <v>-</v>
      </c>
      <c r="AW21" s="720" t="str">
        <f>IFERROR(CS21/D21,"-")</f>
        <v>-</v>
      </c>
      <c r="AX21" s="688"/>
      <c r="AY21" s="720" t="str">
        <f>IFERROR(CJ21/(CG21+CJ21),"-")</f>
        <v>-</v>
      </c>
      <c r="AZ21" s="726" t="str">
        <f>IFERROR(CJ21/P21,"-")</f>
        <v>-</v>
      </c>
      <c r="BA21" s="726" t="str">
        <f>IFERROR((CJ21-CI21)/P21,"-")</f>
        <v>-</v>
      </c>
      <c r="BB21" s="689"/>
      <c r="BC21" s="726" t="str">
        <f>IFERROR(P21/CO21,"-")</f>
        <v>-</v>
      </c>
      <c r="BD21" s="726" t="str">
        <f>IFERROR(P21/CP21,"-")</f>
        <v>-</v>
      </c>
      <c r="BE21" s="726" t="str">
        <f>IFERROR(U21/CO21,"-")</f>
        <v>-</v>
      </c>
      <c r="BF21" s="688"/>
      <c r="BG21" s="690"/>
      <c r="BH21" s="690"/>
      <c r="BI21" s="48"/>
      <c r="BJ21" s="764" t="str">
        <f>IFERROR($G21/J21,"-")</f>
        <v>-</v>
      </c>
      <c r="BK21" s="764" t="str">
        <f>IFERROR($G21/L21,"-")</f>
        <v>-</v>
      </c>
      <c r="BL21" s="764" t="str">
        <f>IFERROR($G21/M21,"-")</f>
        <v>-</v>
      </c>
      <c r="BM21" s="769"/>
      <c r="BN21" s="764" t="str">
        <f>IFERROR($G21/P21,"-")</f>
        <v>-</v>
      </c>
      <c r="BO21" s="764" t="str">
        <f>IFERROR($G21/R21,"-")</f>
        <v>-</v>
      </c>
      <c r="BP21" s="764" t="str">
        <f>IFERROR($G21/S21,"-")</f>
        <v>-</v>
      </c>
      <c r="BQ21" s="764" t="str">
        <f>IFERROR($G21/U21,"-")</f>
        <v>-</v>
      </c>
      <c r="BR21" s="764" t="str">
        <f>IFERROR($G21/V21,"-")</f>
        <v>-</v>
      </c>
      <c r="BS21" s="764" t="str">
        <f>IFERROR($G21/X21,"-")</f>
        <v>-</v>
      </c>
      <c r="BT21" s="43"/>
      <c r="BU21" s="720" t="str">
        <f>IFERROR(AG21,"-")</f>
        <v>-</v>
      </c>
      <c r="BV21" s="782" t="str">
        <f>IFERROR(CJ21/P21,"-")</f>
        <v>-</v>
      </c>
      <c r="BW21" s="43"/>
      <c r="BX21" s="764" t="str">
        <f>IFERROR(D21/AA21,"-")</f>
        <v>-</v>
      </c>
      <c r="BY21" s="764" t="str">
        <f>IFERROR(D21/Z21,"-")</f>
        <v>-</v>
      </c>
      <c r="BZ21" s="764" t="str">
        <f>IFERROR(D21/AC21,"-")</f>
        <v>-</v>
      </c>
      <c r="CA21" s="764" t="str">
        <f>IFERROR(D21/AD21,"-")</f>
        <v>-</v>
      </c>
      <c r="CB21" s="43"/>
      <c r="CC21" s="720" t="str">
        <f>IFERROR((BX21-BY21)/BY21,"-")</f>
        <v>-</v>
      </c>
      <c r="CD21" s="720" t="str">
        <f>IFERROR(CR21/D21,"-")</f>
        <v>-</v>
      </c>
      <c r="CE21" s="777" t="str">
        <f>IFERROR(CO21/P21,"-")</f>
        <v>-</v>
      </c>
      <c r="CF21" s="600"/>
      <c r="CG21" s="683"/>
      <c r="CH21" s="683"/>
      <c r="CI21" s="683"/>
      <c r="CJ21" s="683"/>
      <c r="CK21" s="683"/>
      <c r="CL21" s="683"/>
      <c r="CM21" s="742">
        <f>IFERROR(G21-CI21,"-")</f>
        <v>0</v>
      </c>
      <c r="CN21" s="600"/>
      <c r="CO21" s="683"/>
      <c r="CP21" s="683"/>
      <c r="CQ21" s="600"/>
      <c r="CR21" s="683"/>
      <c r="CS21" s="683"/>
      <c r="CT21" s="683"/>
    </row>
    <row r="22" spans="2:98">
      <c r="B22" t="s">
        <v>225</v>
      </c>
      <c r="C22" s="32" t="s">
        <v>233</v>
      </c>
      <c r="D22" s="613"/>
      <c r="E22" s="614"/>
      <c r="F22" s="714">
        <f>D22*CT22</f>
        <v>0</v>
      </c>
      <c r="G22" s="715">
        <f>F22+CK22+CL22-CI22</f>
        <v>0</v>
      </c>
      <c r="H22" s="41"/>
      <c r="I22" s="685"/>
      <c r="J22" s="685"/>
      <c r="K22" s="685"/>
      <c r="L22" s="685"/>
      <c r="M22" s="685"/>
      <c r="N22" s="685"/>
      <c r="O22" s="685"/>
      <c r="P22" s="685"/>
      <c r="Q22" s="685"/>
      <c r="R22" s="685"/>
      <c r="S22" s="685"/>
      <c r="T22" s="685"/>
      <c r="U22" s="685"/>
      <c r="V22" s="685"/>
      <c r="W22" s="685"/>
      <c r="X22" s="685"/>
      <c r="Y22" s="685"/>
      <c r="Z22" s="686"/>
      <c r="AA22" s="686"/>
      <c r="AB22" s="686"/>
      <c r="AC22" s="686"/>
      <c r="AD22" s="686"/>
      <c r="AE22" s="684"/>
      <c r="AF22" s="720" t="str">
        <f t="shared" ref="AF22:AF25" si="33">IFERROR(N22/$J22,"-")</f>
        <v>-</v>
      </c>
      <c r="AG22" s="720" t="str">
        <f t="shared" ref="AG22:AG25" si="34">IFERROR(P22/$J22,"-")</f>
        <v>-</v>
      </c>
      <c r="AH22" s="720" t="str">
        <f t="shared" ref="AH22:AH25" si="35">IFERROR(U22/$J22,"-")</f>
        <v>-</v>
      </c>
      <c r="AI22" s="720" t="str">
        <f t="shared" ref="AI22:AI25" si="36">IFERROR(Y22/$J22,"-")</f>
        <v>-</v>
      </c>
      <c r="AJ22" s="687"/>
      <c r="AK22" s="720" t="str">
        <f t="shared" ref="AK22:AK25" si="37">IFERROR((K22-I22)/I22,"-")</f>
        <v>-</v>
      </c>
      <c r="AL22" s="720" t="str">
        <f t="shared" ref="AL22:AL25" si="38">IFERROR((L22-J22)/J22,"-")</f>
        <v>-</v>
      </c>
      <c r="AM22" s="720" t="str">
        <f t="shared" ref="AM22:AM25" si="39">IFERROR((Q22-O22)/O22,"-")</f>
        <v>-</v>
      </c>
      <c r="AN22" s="720" t="str">
        <f t="shared" ref="AN22:AN25" si="40">IFERROR((R22-P22)/P22,"-")</f>
        <v>-</v>
      </c>
      <c r="AO22" s="721" t="str">
        <f t="shared" ref="AO22:AO25" si="41">IFERROR((AB22-Z22)/Z22,"-")</f>
        <v>-</v>
      </c>
      <c r="AP22" s="721" t="str">
        <f t="shared" ref="AP22:AP25" si="42">IFERROR((AC22-AA22)/AA22,"-")</f>
        <v>-</v>
      </c>
      <c r="AQ22" s="687"/>
      <c r="AR22" s="686"/>
      <c r="AS22" s="687"/>
      <c r="AT22" s="720" t="str">
        <f>IFERROR((Y22+CO22)/(CG22+CJ22),"-")</f>
        <v>-</v>
      </c>
      <c r="AU22" s="720" t="str">
        <f>IFERROR(Y22/(CG22-CJ22),"-")</f>
        <v>-</v>
      </c>
      <c r="AV22" s="720" t="str">
        <f>IFERROR(Y22/CG22,"-")</f>
        <v>-</v>
      </c>
      <c r="AW22" s="720" t="str">
        <f>IFERROR(CS22/D22,"-")</f>
        <v>-</v>
      </c>
      <c r="AX22" s="688"/>
      <c r="AY22" s="720" t="str">
        <f t="shared" ref="AY22:AY25" si="43">IFERROR(CJ22/(CG22+CJ22),"-")</f>
        <v>-</v>
      </c>
      <c r="AZ22" s="726" t="str">
        <f>IFERROR(CJ22/P22,"-")</f>
        <v>-</v>
      </c>
      <c r="BA22" s="726" t="str">
        <f>IFERROR((CJ22-CI22)/P22,"-")</f>
        <v>-</v>
      </c>
      <c r="BB22" s="689"/>
      <c r="BC22" s="726" t="str">
        <f>IFERROR(P22/CO22,"-")</f>
        <v>-</v>
      </c>
      <c r="BD22" s="726" t="str">
        <f>IFERROR(P22/CP22,"-")</f>
        <v>-</v>
      </c>
      <c r="BE22" s="726" t="str">
        <f>IFERROR(U22/CO22,"-")</f>
        <v>-</v>
      </c>
      <c r="BF22" s="688"/>
      <c r="BG22" s="690"/>
      <c r="BH22" s="690"/>
      <c r="BI22" s="48"/>
      <c r="BJ22" s="764" t="str">
        <f t="shared" ref="BJ22:BJ24" si="44">IFERROR($G22/J22,"-")</f>
        <v>-</v>
      </c>
      <c r="BK22" s="764" t="str">
        <f t="shared" ref="BK22:BK24" si="45">IFERROR($G22/L22,"-")</f>
        <v>-</v>
      </c>
      <c r="BL22" s="764" t="str">
        <f t="shared" ref="BL22:BL24" si="46">IFERROR($G22/M22,"-")</f>
        <v>-</v>
      </c>
      <c r="BM22" s="769"/>
      <c r="BN22" s="764" t="str">
        <f t="shared" ref="BN22:BN24" si="47">IFERROR($G22/P22,"-")</f>
        <v>-</v>
      </c>
      <c r="BO22" s="764" t="str">
        <f t="shared" ref="BO22:BO24" si="48">IFERROR($G22/R22,"-")</f>
        <v>-</v>
      </c>
      <c r="BP22" s="764" t="str">
        <f t="shared" ref="BP22:BP24" si="49">IFERROR($G22/S22,"-")</f>
        <v>-</v>
      </c>
      <c r="BQ22" s="764" t="str">
        <f t="shared" ref="BQ22:BQ24" si="50">IFERROR($G22/U22,"-")</f>
        <v>-</v>
      </c>
      <c r="BR22" s="764" t="str">
        <f t="shared" ref="BR22:BR24" si="51">IFERROR($G22/V22,"-")</f>
        <v>-</v>
      </c>
      <c r="BS22" s="764" t="str">
        <f t="shared" ref="BS22:BS24" si="52">IFERROR($G22/X22,"-")</f>
        <v>-</v>
      </c>
      <c r="BT22" s="43"/>
      <c r="BU22" s="720" t="str">
        <f t="shared" ref="BU22:BU24" si="53">IFERROR(AG22,"-")</f>
        <v>-</v>
      </c>
      <c r="BV22" s="782" t="str">
        <f t="shared" ref="BV22:BV24" si="54">IFERROR(CJ22/P22,"-")</f>
        <v>-</v>
      </c>
      <c r="BW22" s="43"/>
      <c r="BX22" s="764" t="str">
        <f t="shared" ref="BX22:BX24" si="55">IFERROR(D22/AA22,"-")</f>
        <v>-</v>
      </c>
      <c r="BY22" s="764" t="str">
        <f t="shared" ref="BY22:BY24" si="56">IFERROR(D22/Z22,"-")</f>
        <v>-</v>
      </c>
      <c r="BZ22" s="764" t="str">
        <f t="shared" ref="BZ22:BZ24" si="57">IFERROR(D22/AC22,"-")</f>
        <v>-</v>
      </c>
      <c r="CA22" s="764" t="str">
        <f t="shared" ref="CA22:CA24" si="58">IFERROR(D22/AD22,"-")</f>
        <v>-</v>
      </c>
      <c r="CB22" s="43"/>
      <c r="CC22" s="720" t="str">
        <f t="shared" ref="CC22:CC24" si="59">IFERROR((BX22-BY22)/BY22,"-")</f>
        <v>-</v>
      </c>
      <c r="CD22" s="720" t="str">
        <f t="shared" ref="CD22:CD24" si="60">IFERROR(CR22/D22,"-")</f>
        <v>-</v>
      </c>
      <c r="CE22" s="777" t="str">
        <f t="shared" ref="CE22:CE24" si="61">IFERROR(CO22/P22,"-")</f>
        <v>-</v>
      </c>
      <c r="CF22" s="600"/>
      <c r="CG22" s="683"/>
      <c r="CH22" s="683"/>
      <c r="CI22" s="683"/>
      <c r="CJ22" s="683"/>
      <c r="CK22" s="683"/>
      <c r="CL22" s="683"/>
      <c r="CM22" s="742">
        <f>G22-CI22</f>
        <v>0</v>
      </c>
      <c r="CN22" s="600"/>
      <c r="CO22" s="683"/>
      <c r="CP22" s="683"/>
      <c r="CQ22" s="600"/>
      <c r="CR22" s="683"/>
      <c r="CS22" s="683"/>
      <c r="CT22" s="683"/>
    </row>
    <row r="23" spans="2:98">
      <c r="B23" t="s">
        <v>226</v>
      </c>
      <c r="C23" s="32" t="s">
        <v>234</v>
      </c>
      <c r="D23" s="613"/>
      <c r="E23" s="614"/>
      <c r="F23" s="714">
        <f>D23*CT23</f>
        <v>0</v>
      </c>
      <c r="G23" s="715">
        <f>F23+CK23+CL23-CI23</f>
        <v>0</v>
      </c>
      <c r="H23" s="41"/>
      <c r="I23" s="685"/>
      <c r="J23" s="685"/>
      <c r="K23" s="685"/>
      <c r="L23" s="685"/>
      <c r="M23" s="685"/>
      <c r="N23" s="685"/>
      <c r="O23" s="685"/>
      <c r="P23" s="685"/>
      <c r="Q23" s="685"/>
      <c r="R23" s="685"/>
      <c r="S23" s="685"/>
      <c r="T23" s="685"/>
      <c r="U23" s="685"/>
      <c r="V23" s="685"/>
      <c r="W23" s="685"/>
      <c r="X23" s="685"/>
      <c r="Y23" s="685"/>
      <c r="Z23" s="686"/>
      <c r="AA23" s="686"/>
      <c r="AB23" s="686"/>
      <c r="AC23" s="686"/>
      <c r="AD23" s="686"/>
      <c r="AE23" s="684"/>
      <c r="AF23" s="720" t="str">
        <f t="shared" si="33"/>
        <v>-</v>
      </c>
      <c r="AG23" s="720" t="str">
        <f t="shared" si="34"/>
        <v>-</v>
      </c>
      <c r="AH23" s="720" t="str">
        <f t="shared" si="35"/>
        <v>-</v>
      </c>
      <c r="AI23" s="720" t="str">
        <f t="shared" si="36"/>
        <v>-</v>
      </c>
      <c r="AJ23" s="687"/>
      <c r="AK23" s="720" t="str">
        <f t="shared" si="37"/>
        <v>-</v>
      </c>
      <c r="AL23" s="720" t="str">
        <f t="shared" si="38"/>
        <v>-</v>
      </c>
      <c r="AM23" s="720" t="str">
        <f t="shared" si="39"/>
        <v>-</v>
      </c>
      <c r="AN23" s="720" t="str">
        <f t="shared" si="40"/>
        <v>-</v>
      </c>
      <c r="AO23" s="721" t="str">
        <f t="shared" si="41"/>
        <v>-</v>
      </c>
      <c r="AP23" s="721" t="str">
        <f t="shared" si="42"/>
        <v>-</v>
      </c>
      <c r="AQ23" s="687"/>
      <c r="AR23" s="686"/>
      <c r="AS23" s="687"/>
      <c r="AT23" s="720" t="str">
        <f>IFERROR((Y23+CO23)/(CG23+CJ23),"-")</f>
        <v>-</v>
      </c>
      <c r="AU23" s="720" t="str">
        <f>IFERROR(Y23/(CG23-CJ23),"-")</f>
        <v>-</v>
      </c>
      <c r="AV23" s="720" t="str">
        <f>IFERROR(Y23/CG23,"-")</f>
        <v>-</v>
      </c>
      <c r="AW23" s="720" t="str">
        <f>IFERROR(CS23/D23,"-")</f>
        <v>-</v>
      </c>
      <c r="AX23" s="688"/>
      <c r="AY23" s="720" t="str">
        <f t="shared" si="43"/>
        <v>-</v>
      </c>
      <c r="AZ23" s="726" t="str">
        <f>IFERROR(CJ23/P23,"-")</f>
        <v>-</v>
      </c>
      <c r="BA23" s="726" t="str">
        <f>IFERROR((CJ23-CI23)/P23,"-")</f>
        <v>-</v>
      </c>
      <c r="BB23" s="689"/>
      <c r="BC23" s="726" t="str">
        <f>IFERROR(P23/CO23,"-")</f>
        <v>-</v>
      </c>
      <c r="BD23" s="726" t="str">
        <f>IFERROR(P23/CP23,"-")</f>
        <v>-</v>
      </c>
      <c r="BE23" s="726" t="str">
        <f>IFERROR(U23/CO23,"-")</f>
        <v>-</v>
      </c>
      <c r="BF23" s="688"/>
      <c r="BG23" s="690"/>
      <c r="BH23" s="690"/>
      <c r="BI23" s="48"/>
      <c r="BJ23" s="764" t="str">
        <f t="shared" si="44"/>
        <v>-</v>
      </c>
      <c r="BK23" s="764" t="str">
        <f t="shared" si="45"/>
        <v>-</v>
      </c>
      <c r="BL23" s="764" t="str">
        <f t="shared" si="46"/>
        <v>-</v>
      </c>
      <c r="BM23" s="769"/>
      <c r="BN23" s="764" t="str">
        <f t="shared" si="47"/>
        <v>-</v>
      </c>
      <c r="BO23" s="764" t="str">
        <f t="shared" si="48"/>
        <v>-</v>
      </c>
      <c r="BP23" s="764" t="str">
        <f t="shared" si="49"/>
        <v>-</v>
      </c>
      <c r="BQ23" s="764" t="str">
        <f t="shared" si="50"/>
        <v>-</v>
      </c>
      <c r="BR23" s="764" t="str">
        <f t="shared" si="51"/>
        <v>-</v>
      </c>
      <c r="BS23" s="764" t="str">
        <f t="shared" si="52"/>
        <v>-</v>
      </c>
      <c r="BT23" s="43"/>
      <c r="BU23" s="720" t="str">
        <f t="shared" si="53"/>
        <v>-</v>
      </c>
      <c r="BV23" s="782" t="str">
        <f t="shared" si="54"/>
        <v>-</v>
      </c>
      <c r="BW23" s="43"/>
      <c r="BX23" s="764" t="str">
        <f t="shared" si="55"/>
        <v>-</v>
      </c>
      <c r="BY23" s="764" t="str">
        <f t="shared" si="56"/>
        <v>-</v>
      </c>
      <c r="BZ23" s="764" t="str">
        <f t="shared" si="57"/>
        <v>-</v>
      </c>
      <c r="CA23" s="764" t="str">
        <f t="shared" si="58"/>
        <v>-</v>
      </c>
      <c r="CB23" s="43"/>
      <c r="CC23" s="720" t="str">
        <f t="shared" si="59"/>
        <v>-</v>
      </c>
      <c r="CD23" s="720" t="str">
        <f t="shared" si="60"/>
        <v>-</v>
      </c>
      <c r="CE23" s="777" t="str">
        <f t="shared" si="61"/>
        <v>-</v>
      </c>
      <c r="CF23" s="600"/>
      <c r="CG23" s="683"/>
      <c r="CH23" s="683"/>
      <c r="CI23" s="683"/>
      <c r="CJ23" s="683"/>
      <c r="CK23" s="683"/>
      <c r="CL23" s="683"/>
      <c r="CM23" s="742">
        <f>G23-CI23</f>
        <v>0</v>
      </c>
      <c r="CN23" s="600"/>
      <c r="CO23" s="683"/>
      <c r="CP23" s="683"/>
      <c r="CQ23" s="600"/>
      <c r="CR23" s="683"/>
      <c r="CS23" s="683"/>
      <c r="CT23" s="683"/>
    </row>
    <row r="24" spans="2:98">
      <c r="B24" t="s">
        <v>227</v>
      </c>
      <c r="C24" s="32" t="s">
        <v>236</v>
      </c>
      <c r="D24" s="613"/>
      <c r="E24" s="614"/>
      <c r="F24" s="714">
        <f>D24*CT24</f>
        <v>0</v>
      </c>
      <c r="G24" s="715">
        <f>F24+CK24+CL24-CI24</f>
        <v>0</v>
      </c>
      <c r="H24" s="41"/>
      <c r="I24" s="685"/>
      <c r="J24" s="685"/>
      <c r="K24" s="685"/>
      <c r="L24" s="685"/>
      <c r="M24" s="685"/>
      <c r="N24" s="685"/>
      <c r="O24" s="685"/>
      <c r="P24" s="685"/>
      <c r="Q24" s="685"/>
      <c r="R24" s="685"/>
      <c r="S24" s="685"/>
      <c r="T24" s="685"/>
      <c r="U24" s="685"/>
      <c r="V24" s="685"/>
      <c r="W24" s="685"/>
      <c r="X24" s="685"/>
      <c r="Y24" s="685"/>
      <c r="Z24" s="686"/>
      <c r="AA24" s="686"/>
      <c r="AB24" s="686"/>
      <c r="AC24" s="686"/>
      <c r="AD24" s="686"/>
      <c r="AE24" s="684"/>
      <c r="AF24" s="720" t="str">
        <f t="shared" si="33"/>
        <v>-</v>
      </c>
      <c r="AG24" s="720" t="str">
        <f t="shared" si="34"/>
        <v>-</v>
      </c>
      <c r="AH24" s="720" t="str">
        <f t="shared" si="35"/>
        <v>-</v>
      </c>
      <c r="AI24" s="720" t="str">
        <f t="shared" si="36"/>
        <v>-</v>
      </c>
      <c r="AJ24" s="687"/>
      <c r="AK24" s="720" t="str">
        <f t="shared" si="37"/>
        <v>-</v>
      </c>
      <c r="AL24" s="720" t="str">
        <f t="shared" si="38"/>
        <v>-</v>
      </c>
      <c r="AM24" s="720" t="str">
        <f t="shared" si="39"/>
        <v>-</v>
      </c>
      <c r="AN24" s="720" t="str">
        <f t="shared" si="40"/>
        <v>-</v>
      </c>
      <c r="AO24" s="721" t="str">
        <f t="shared" si="41"/>
        <v>-</v>
      </c>
      <c r="AP24" s="721" t="str">
        <f t="shared" si="42"/>
        <v>-</v>
      </c>
      <c r="AQ24" s="687"/>
      <c r="AR24" s="686"/>
      <c r="AS24" s="687"/>
      <c r="AT24" s="720" t="str">
        <f>IFERROR((Y24+CO24)/(CG24+CJ24),"-")</f>
        <v>-</v>
      </c>
      <c r="AU24" s="720" t="str">
        <f>IFERROR(Y24/(CG24-CJ24),"-")</f>
        <v>-</v>
      </c>
      <c r="AV24" s="720" t="str">
        <f>IFERROR(Y24/CG24,"-")</f>
        <v>-</v>
      </c>
      <c r="AW24" s="720" t="str">
        <f>IFERROR(CS24/D24,"-")</f>
        <v>-</v>
      </c>
      <c r="AX24" s="688"/>
      <c r="AY24" s="720" t="str">
        <f t="shared" si="43"/>
        <v>-</v>
      </c>
      <c r="AZ24" s="726" t="str">
        <f>IFERROR(CJ24/P24,"-")</f>
        <v>-</v>
      </c>
      <c r="BA24" s="726" t="str">
        <f>IFERROR((CJ24-CI24)/P24,"-")</f>
        <v>-</v>
      </c>
      <c r="BB24" s="689"/>
      <c r="BC24" s="726" t="str">
        <f>IFERROR(P24/CO24,"-")</f>
        <v>-</v>
      </c>
      <c r="BD24" s="726" t="str">
        <f>IFERROR(P24/CP24,"-")</f>
        <v>-</v>
      </c>
      <c r="BE24" s="726" t="str">
        <f>IFERROR(U24/CO24,"-")</f>
        <v>-</v>
      </c>
      <c r="BF24" s="688"/>
      <c r="BG24" s="690"/>
      <c r="BH24" s="690"/>
      <c r="BI24" s="48"/>
      <c r="BJ24" s="764" t="str">
        <f t="shared" si="44"/>
        <v>-</v>
      </c>
      <c r="BK24" s="764" t="str">
        <f t="shared" si="45"/>
        <v>-</v>
      </c>
      <c r="BL24" s="764" t="str">
        <f t="shared" si="46"/>
        <v>-</v>
      </c>
      <c r="BM24" s="769"/>
      <c r="BN24" s="764" t="str">
        <f t="shared" si="47"/>
        <v>-</v>
      </c>
      <c r="BO24" s="764" t="str">
        <f t="shared" si="48"/>
        <v>-</v>
      </c>
      <c r="BP24" s="764" t="str">
        <f t="shared" si="49"/>
        <v>-</v>
      </c>
      <c r="BQ24" s="764" t="str">
        <f t="shared" si="50"/>
        <v>-</v>
      </c>
      <c r="BR24" s="764" t="str">
        <f t="shared" si="51"/>
        <v>-</v>
      </c>
      <c r="BS24" s="764" t="str">
        <f t="shared" si="52"/>
        <v>-</v>
      </c>
      <c r="BT24" s="43"/>
      <c r="BU24" s="720" t="str">
        <f t="shared" si="53"/>
        <v>-</v>
      </c>
      <c r="BV24" s="782" t="str">
        <f t="shared" si="54"/>
        <v>-</v>
      </c>
      <c r="BW24" s="43"/>
      <c r="BX24" s="764" t="str">
        <f t="shared" si="55"/>
        <v>-</v>
      </c>
      <c r="BY24" s="764" t="str">
        <f t="shared" si="56"/>
        <v>-</v>
      </c>
      <c r="BZ24" s="764" t="str">
        <f t="shared" si="57"/>
        <v>-</v>
      </c>
      <c r="CA24" s="764" t="str">
        <f t="shared" si="58"/>
        <v>-</v>
      </c>
      <c r="CB24" s="43"/>
      <c r="CC24" s="720" t="str">
        <f t="shared" si="59"/>
        <v>-</v>
      </c>
      <c r="CD24" s="720" t="str">
        <f t="shared" si="60"/>
        <v>-</v>
      </c>
      <c r="CE24" s="777" t="str">
        <f t="shared" si="61"/>
        <v>-</v>
      </c>
      <c r="CF24" s="600"/>
      <c r="CG24" s="683"/>
      <c r="CH24" s="683"/>
      <c r="CI24" s="683"/>
      <c r="CJ24" s="683"/>
      <c r="CK24" s="683"/>
      <c r="CL24" s="683"/>
      <c r="CM24" s="742">
        <f>G24-CI24</f>
        <v>0</v>
      </c>
      <c r="CN24" s="600"/>
      <c r="CO24" s="683"/>
      <c r="CP24" s="683"/>
      <c r="CQ24" s="600"/>
      <c r="CR24" s="683"/>
      <c r="CS24" s="683"/>
      <c r="CT24" s="683"/>
    </row>
    <row r="25" spans="2:98">
      <c r="B25" t="s">
        <v>150</v>
      </c>
      <c r="C25" s="32" t="s">
        <v>237</v>
      </c>
      <c r="D25" s="613"/>
      <c r="E25" s="614"/>
      <c r="F25" s="714">
        <f>D25*CT25</f>
        <v>0</v>
      </c>
      <c r="G25" s="715">
        <f>F25+CK25+CL25-CI25</f>
        <v>0</v>
      </c>
      <c r="H25" s="41"/>
      <c r="I25" s="685"/>
      <c r="J25" s="685"/>
      <c r="K25" s="685"/>
      <c r="L25" s="685"/>
      <c r="M25" s="685"/>
      <c r="N25" s="685"/>
      <c r="O25" s="685"/>
      <c r="P25" s="685"/>
      <c r="Q25" s="685"/>
      <c r="R25" s="685"/>
      <c r="S25" s="685"/>
      <c r="T25" s="685"/>
      <c r="U25" s="685"/>
      <c r="V25" s="685"/>
      <c r="W25" s="685"/>
      <c r="X25" s="685"/>
      <c r="Y25" s="685"/>
      <c r="Z25" s="686"/>
      <c r="AA25" s="686"/>
      <c r="AB25" s="686"/>
      <c r="AC25" s="686"/>
      <c r="AD25" s="686"/>
      <c r="AE25" s="684"/>
      <c r="AF25" s="720" t="str">
        <f t="shared" si="33"/>
        <v>-</v>
      </c>
      <c r="AG25" s="720" t="str">
        <f t="shared" si="34"/>
        <v>-</v>
      </c>
      <c r="AH25" s="720" t="str">
        <f t="shared" si="35"/>
        <v>-</v>
      </c>
      <c r="AI25" s="720" t="str">
        <f t="shared" si="36"/>
        <v>-</v>
      </c>
      <c r="AJ25" s="687"/>
      <c r="AK25" s="720" t="str">
        <f t="shared" si="37"/>
        <v>-</v>
      </c>
      <c r="AL25" s="720" t="str">
        <f t="shared" si="38"/>
        <v>-</v>
      </c>
      <c r="AM25" s="720" t="str">
        <f t="shared" si="39"/>
        <v>-</v>
      </c>
      <c r="AN25" s="720" t="str">
        <f t="shared" si="40"/>
        <v>-</v>
      </c>
      <c r="AO25" s="721" t="str">
        <f t="shared" si="41"/>
        <v>-</v>
      </c>
      <c r="AP25" s="721" t="str">
        <f t="shared" si="42"/>
        <v>-</v>
      </c>
      <c r="AQ25" s="687"/>
      <c r="AR25" s="686"/>
      <c r="AS25" s="687"/>
      <c r="AT25" s="720" t="str">
        <f>IFERROR((Y25+CO25)/(CG25+CJ25),"-")</f>
        <v>-</v>
      </c>
      <c r="AU25" s="720" t="str">
        <f>IFERROR(Y25/(CG25-CJ25),"-")</f>
        <v>-</v>
      </c>
      <c r="AV25" s="720" t="str">
        <f>IFERROR(Y25/CG25,"-")</f>
        <v>-</v>
      </c>
      <c r="AW25" s="720" t="str">
        <f>IFERROR(CS25/D25,"-")</f>
        <v>-</v>
      </c>
      <c r="AX25" s="688"/>
      <c r="AY25" s="720" t="str">
        <f t="shared" si="43"/>
        <v>-</v>
      </c>
      <c r="AZ25" s="726" t="str">
        <f>IFERROR(CJ25/P25,"-")</f>
        <v>-</v>
      </c>
      <c r="BA25" s="726" t="str">
        <f>IFERROR((CJ25-CI25)/P25,"-")</f>
        <v>-</v>
      </c>
      <c r="BB25" s="689"/>
      <c r="BC25" s="726" t="str">
        <f>IFERROR(P25/CO25,"-")</f>
        <v>-</v>
      </c>
      <c r="BD25" s="726" t="str">
        <f>IFERROR(P25/CP25,"-")</f>
        <v>-</v>
      </c>
      <c r="BE25" s="726" t="str">
        <f>IFERROR(U25/CO25,"-")</f>
        <v>-</v>
      </c>
      <c r="BF25" s="688"/>
      <c r="BG25" s="690"/>
      <c r="BH25" s="690"/>
      <c r="BI25" s="48"/>
      <c r="BJ25" s="764" t="str">
        <f>IFERROR($G25/J25,"-")</f>
        <v>-</v>
      </c>
      <c r="BK25" s="764" t="str">
        <f>IFERROR($G25/L25,"-")</f>
        <v>-</v>
      </c>
      <c r="BL25" s="764" t="str">
        <f>IFERROR($G25/M25,"-")</f>
        <v>-</v>
      </c>
      <c r="BM25" s="769"/>
      <c r="BN25" s="764" t="str">
        <f>IFERROR($G25/P25,"-")</f>
        <v>-</v>
      </c>
      <c r="BO25" s="764" t="str">
        <f>IFERROR($G25/R25,"-")</f>
        <v>-</v>
      </c>
      <c r="BP25" s="764" t="str">
        <f>IFERROR($G25/S25,"-")</f>
        <v>-</v>
      </c>
      <c r="BQ25" s="764" t="str">
        <f>IFERROR($G25/U25,"-")</f>
        <v>-</v>
      </c>
      <c r="BR25" s="764" t="str">
        <f>IFERROR($G25/V25,"-")</f>
        <v>-</v>
      </c>
      <c r="BS25" s="764" t="str">
        <f>IFERROR($G25/X25,"-")</f>
        <v>-</v>
      </c>
      <c r="BT25" s="43"/>
      <c r="BU25" s="720" t="str">
        <f>IFERROR(AG25,"-")</f>
        <v>-</v>
      </c>
      <c r="BV25" s="782" t="str">
        <f>IFERROR(CJ25/P25,"-")</f>
        <v>-</v>
      </c>
      <c r="BW25" s="43"/>
      <c r="BX25" s="764" t="str">
        <f>IFERROR(D25/AA25,"-")</f>
        <v>-</v>
      </c>
      <c r="BY25" s="764" t="str">
        <f>IFERROR(D25/Z25,"-")</f>
        <v>-</v>
      </c>
      <c r="BZ25" s="764" t="str">
        <f>IFERROR(D25/AC25,"-")</f>
        <v>-</v>
      </c>
      <c r="CA25" s="764" t="str">
        <f>IFERROR(D25/AD25,"-")</f>
        <v>-</v>
      </c>
      <c r="CB25" s="43"/>
      <c r="CC25" s="720" t="str">
        <f>IFERROR((BX25-BY25)/BY25,"-")</f>
        <v>-</v>
      </c>
      <c r="CD25" s="720" t="str">
        <f>IFERROR(CR25/D25,"-")</f>
        <v>-</v>
      </c>
      <c r="CE25" s="777" t="str">
        <f>IFERROR(CO25/P25,"-")</f>
        <v>-</v>
      </c>
      <c r="CF25" s="600"/>
      <c r="CG25" s="683"/>
      <c r="CH25" s="683"/>
      <c r="CI25" s="683"/>
      <c r="CJ25" s="683"/>
      <c r="CK25" s="683"/>
      <c r="CL25" s="683"/>
      <c r="CM25" s="742">
        <f>G25-CI25</f>
        <v>0</v>
      </c>
      <c r="CN25" s="600"/>
      <c r="CO25" s="683"/>
      <c r="CP25" s="683"/>
      <c r="CQ25" s="600"/>
      <c r="CR25" s="683"/>
      <c r="CS25" s="683"/>
      <c r="CT25" s="683"/>
    </row>
    <row r="26" spans="2:98">
      <c r="D26" s="32"/>
      <c r="E26" s="32"/>
      <c r="AY26" s="21"/>
      <c r="BJ26" s="741"/>
      <c r="BK26" s="741"/>
      <c r="BL26" s="741"/>
      <c r="BM26" s="733"/>
      <c r="BN26" s="741"/>
      <c r="BO26" s="741"/>
      <c r="BP26" s="741"/>
      <c r="BQ26" s="741"/>
      <c r="BR26" s="741"/>
      <c r="BS26" s="741"/>
      <c r="BT26" s="600"/>
      <c r="BU26" s="773"/>
      <c r="BV26" s="741"/>
      <c r="BW26" s="600"/>
      <c r="BX26" s="741"/>
      <c r="BY26" s="741"/>
      <c r="BZ26" s="741"/>
      <c r="CA26" s="741"/>
      <c r="CB26" s="600"/>
      <c r="CC26" s="777"/>
      <c r="CD26" s="777"/>
      <c r="CE26" s="777"/>
    </row>
    <row r="27" spans="2:98">
      <c r="B27" s="51" t="s">
        <v>219</v>
      </c>
      <c r="C27" s="52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3"/>
      <c r="AF27" s="700" t="str">
        <f>IFERROR(AVERAGE(AF21:AF25),"-")</f>
        <v>-</v>
      </c>
      <c r="AG27" s="700" t="str">
        <f t="shared" ref="AG27:CR27" si="62">IFERROR(AVERAGE(AG21:AG25),"-")</f>
        <v>-</v>
      </c>
      <c r="AH27" s="700" t="str">
        <f t="shared" si="62"/>
        <v>-</v>
      </c>
      <c r="AI27" s="700" t="str">
        <f t="shared" si="62"/>
        <v>-</v>
      </c>
      <c r="AJ27" s="700"/>
      <c r="AK27" s="700" t="str">
        <f t="shared" si="62"/>
        <v>-</v>
      </c>
      <c r="AL27" s="700" t="str">
        <f t="shared" si="62"/>
        <v>-</v>
      </c>
      <c r="AM27" s="700" t="str">
        <f t="shared" si="62"/>
        <v>-</v>
      </c>
      <c r="AN27" s="700" t="str">
        <f t="shared" si="62"/>
        <v>-</v>
      </c>
      <c r="AO27" s="700" t="str">
        <f t="shared" si="62"/>
        <v>-</v>
      </c>
      <c r="AP27" s="700" t="str">
        <f t="shared" si="62"/>
        <v>-</v>
      </c>
      <c r="AQ27" s="700"/>
      <c r="AR27" s="718" t="str">
        <f t="shared" si="62"/>
        <v>-</v>
      </c>
      <c r="AS27" s="700"/>
      <c r="AT27" s="718" t="str">
        <f t="shared" si="62"/>
        <v>-</v>
      </c>
      <c r="AU27" s="718" t="str">
        <f t="shared" si="62"/>
        <v>-</v>
      </c>
      <c r="AV27" s="718" t="str">
        <f t="shared" si="62"/>
        <v>-</v>
      </c>
      <c r="AW27" s="718" t="str">
        <f t="shared" si="62"/>
        <v>-</v>
      </c>
      <c r="AX27" s="700"/>
      <c r="AY27" s="752" t="str">
        <f t="shared" si="62"/>
        <v>-</v>
      </c>
      <c r="AZ27" s="718" t="str">
        <f t="shared" si="62"/>
        <v>-</v>
      </c>
      <c r="BA27" s="718" t="str">
        <f t="shared" si="62"/>
        <v>-</v>
      </c>
      <c r="BB27" s="700"/>
      <c r="BC27" s="718" t="str">
        <f t="shared" si="62"/>
        <v>-</v>
      </c>
      <c r="BD27" s="718" t="str">
        <f t="shared" si="62"/>
        <v>-</v>
      </c>
      <c r="BE27" s="718" t="str">
        <f t="shared" si="62"/>
        <v>-</v>
      </c>
      <c r="BF27" s="700"/>
      <c r="BG27" s="700"/>
      <c r="BH27" s="700"/>
      <c r="BI27" s="700"/>
      <c r="BJ27" s="761" t="str">
        <f t="shared" si="62"/>
        <v>-</v>
      </c>
      <c r="BK27" s="761" t="str">
        <f t="shared" si="62"/>
        <v>-</v>
      </c>
      <c r="BL27" s="761" t="str">
        <f t="shared" si="62"/>
        <v>-</v>
      </c>
      <c r="BM27" s="767"/>
      <c r="BN27" s="761" t="str">
        <f t="shared" si="62"/>
        <v>-</v>
      </c>
      <c r="BO27" s="761" t="str">
        <f t="shared" si="62"/>
        <v>-</v>
      </c>
      <c r="BP27" s="761" t="str">
        <f t="shared" si="62"/>
        <v>-</v>
      </c>
      <c r="BQ27" s="761" t="str">
        <f t="shared" si="62"/>
        <v>-</v>
      </c>
      <c r="BR27" s="761" t="str">
        <f t="shared" si="62"/>
        <v>-</v>
      </c>
      <c r="BS27" s="761" t="str">
        <f t="shared" si="62"/>
        <v>-</v>
      </c>
      <c r="BT27" s="700"/>
      <c r="BU27" s="752" t="str">
        <f t="shared" si="62"/>
        <v>-</v>
      </c>
      <c r="BV27" s="761" t="str">
        <f t="shared" si="62"/>
        <v>-</v>
      </c>
      <c r="BW27" s="700"/>
      <c r="BX27" s="761" t="str">
        <f t="shared" si="62"/>
        <v>-</v>
      </c>
      <c r="BY27" s="761" t="str">
        <f t="shared" si="62"/>
        <v>-</v>
      </c>
      <c r="BZ27" s="761" t="str">
        <f t="shared" si="62"/>
        <v>-</v>
      </c>
      <c r="CA27" s="761" t="str">
        <f t="shared" si="62"/>
        <v>-</v>
      </c>
      <c r="CB27" s="700"/>
      <c r="CC27" s="752" t="str">
        <f t="shared" si="62"/>
        <v>-</v>
      </c>
      <c r="CD27" s="752" t="str">
        <f t="shared" si="62"/>
        <v>-</v>
      </c>
      <c r="CE27" s="752" t="str">
        <f t="shared" si="62"/>
        <v>-</v>
      </c>
      <c r="CF27" s="700"/>
      <c r="CG27" s="700"/>
      <c r="CH27" s="700"/>
      <c r="CI27" s="700"/>
      <c r="CJ27" s="700"/>
      <c r="CK27" s="700"/>
      <c r="CL27" s="700"/>
      <c r="CM27" s="700"/>
      <c r="CN27" s="700"/>
      <c r="CO27" s="700"/>
      <c r="CP27" s="700"/>
      <c r="CQ27" s="700"/>
      <c r="CR27" s="718" t="str">
        <f t="shared" si="62"/>
        <v>-</v>
      </c>
      <c r="CS27" s="718" t="str">
        <f t="shared" ref="CS27" si="63">IFERROR(AVERAGE(CS21:CS25),"-")</f>
        <v>-</v>
      </c>
      <c r="CT27" s="746"/>
    </row>
    <row r="28" spans="2:98">
      <c r="B28" s="54" t="s">
        <v>170</v>
      </c>
      <c r="C28" s="55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6"/>
      <c r="AF28" s="701" t="str">
        <f>IFERROR(MEDIAN(AF21:AF25),"-")</f>
        <v>-</v>
      </c>
      <c r="AG28" s="701" t="str">
        <f t="shared" ref="AG28:CR28" si="64">IFERROR(MEDIAN(AG21:AG25),"-")</f>
        <v>-</v>
      </c>
      <c r="AH28" s="701" t="str">
        <f t="shared" si="64"/>
        <v>-</v>
      </c>
      <c r="AI28" s="701" t="str">
        <f t="shared" si="64"/>
        <v>-</v>
      </c>
      <c r="AJ28" s="701"/>
      <c r="AK28" s="701" t="str">
        <f t="shared" si="64"/>
        <v>-</v>
      </c>
      <c r="AL28" s="701" t="str">
        <f t="shared" si="64"/>
        <v>-</v>
      </c>
      <c r="AM28" s="701" t="str">
        <f t="shared" si="64"/>
        <v>-</v>
      </c>
      <c r="AN28" s="701" t="str">
        <f t="shared" si="64"/>
        <v>-</v>
      </c>
      <c r="AO28" s="701" t="str">
        <f t="shared" si="64"/>
        <v>-</v>
      </c>
      <c r="AP28" s="701" t="str">
        <f t="shared" si="64"/>
        <v>-</v>
      </c>
      <c r="AQ28" s="701"/>
      <c r="AR28" s="719" t="str">
        <f t="shared" si="64"/>
        <v>-</v>
      </c>
      <c r="AS28" s="701"/>
      <c r="AT28" s="719" t="str">
        <f t="shared" si="64"/>
        <v>-</v>
      </c>
      <c r="AU28" s="719" t="str">
        <f t="shared" si="64"/>
        <v>-</v>
      </c>
      <c r="AV28" s="719" t="str">
        <f t="shared" si="64"/>
        <v>-</v>
      </c>
      <c r="AW28" s="719" t="str">
        <f t="shared" si="64"/>
        <v>-</v>
      </c>
      <c r="AX28" s="701"/>
      <c r="AY28" s="754" t="str">
        <f t="shared" si="64"/>
        <v>-</v>
      </c>
      <c r="AZ28" s="719" t="str">
        <f t="shared" si="64"/>
        <v>-</v>
      </c>
      <c r="BA28" s="719" t="str">
        <f t="shared" si="64"/>
        <v>-</v>
      </c>
      <c r="BB28" s="701"/>
      <c r="BC28" s="719" t="str">
        <f t="shared" si="64"/>
        <v>-</v>
      </c>
      <c r="BD28" s="719" t="str">
        <f t="shared" si="64"/>
        <v>-</v>
      </c>
      <c r="BE28" s="719" t="str">
        <f t="shared" si="64"/>
        <v>-</v>
      </c>
      <c r="BF28" s="701"/>
      <c r="BG28" s="701"/>
      <c r="BH28" s="701"/>
      <c r="BI28" s="701"/>
      <c r="BJ28" s="762" t="str">
        <f t="shared" si="64"/>
        <v>-</v>
      </c>
      <c r="BK28" s="762" t="str">
        <f t="shared" si="64"/>
        <v>-</v>
      </c>
      <c r="BL28" s="762" t="str">
        <f t="shared" si="64"/>
        <v>-</v>
      </c>
      <c r="BM28" s="768"/>
      <c r="BN28" s="762" t="str">
        <f t="shared" si="64"/>
        <v>-</v>
      </c>
      <c r="BO28" s="762" t="str">
        <f t="shared" si="64"/>
        <v>-</v>
      </c>
      <c r="BP28" s="762" t="str">
        <f t="shared" si="64"/>
        <v>-</v>
      </c>
      <c r="BQ28" s="762" t="str">
        <f t="shared" si="64"/>
        <v>-</v>
      </c>
      <c r="BR28" s="762" t="str">
        <f t="shared" si="64"/>
        <v>-</v>
      </c>
      <c r="BS28" s="762" t="str">
        <f t="shared" si="64"/>
        <v>-</v>
      </c>
      <c r="BT28" s="701"/>
      <c r="BU28" s="754" t="str">
        <f t="shared" si="64"/>
        <v>-</v>
      </c>
      <c r="BV28" s="762" t="str">
        <f t="shared" si="64"/>
        <v>-</v>
      </c>
      <c r="BW28" s="701"/>
      <c r="BX28" s="762" t="str">
        <f t="shared" si="64"/>
        <v>-</v>
      </c>
      <c r="BY28" s="762" t="str">
        <f t="shared" si="64"/>
        <v>-</v>
      </c>
      <c r="BZ28" s="762" t="str">
        <f t="shared" si="64"/>
        <v>-</v>
      </c>
      <c r="CA28" s="762" t="str">
        <f t="shared" si="64"/>
        <v>-</v>
      </c>
      <c r="CB28" s="701"/>
      <c r="CC28" s="754" t="str">
        <f t="shared" si="64"/>
        <v>-</v>
      </c>
      <c r="CD28" s="754" t="str">
        <f t="shared" si="64"/>
        <v>-</v>
      </c>
      <c r="CE28" s="754" t="str">
        <f t="shared" si="64"/>
        <v>-</v>
      </c>
      <c r="CF28" s="701"/>
      <c r="CG28" s="701"/>
      <c r="CH28" s="701"/>
      <c r="CI28" s="701"/>
      <c r="CJ28" s="701"/>
      <c r="CK28" s="701"/>
      <c r="CL28" s="701"/>
      <c r="CM28" s="701"/>
      <c r="CN28" s="701"/>
      <c r="CO28" s="701"/>
      <c r="CP28" s="701"/>
      <c r="CQ28" s="701"/>
      <c r="CR28" s="719" t="str">
        <f t="shared" si="64"/>
        <v>-</v>
      </c>
      <c r="CS28" s="719" t="str">
        <f t="shared" ref="CS28" si="65">IFERROR(MEDIAN(CS21:CS25),"-")</f>
        <v>-</v>
      </c>
      <c r="CT28" s="747"/>
    </row>
    <row r="29" spans="2:98">
      <c r="D29" s="32"/>
      <c r="E29" s="32"/>
      <c r="AY29" s="21"/>
      <c r="BJ29" s="733"/>
      <c r="BK29" s="733"/>
      <c r="BL29" s="733"/>
      <c r="BM29" s="733"/>
      <c r="BN29" s="733"/>
      <c r="BO29" s="733"/>
      <c r="BP29" s="733"/>
      <c r="BQ29" s="733"/>
      <c r="BR29" s="733"/>
      <c r="BS29" s="733"/>
      <c r="BT29" s="600"/>
      <c r="BU29" s="774"/>
      <c r="BV29" s="733"/>
      <c r="BW29" s="600"/>
      <c r="BX29" s="733"/>
      <c r="BY29" s="733"/>
      <c r="BZ29" s="733"/>
      <c r="CA29" s="733"/>
      <c r="CB29" s="600"/>
      <c r="CC29" s="784"/>
      <c r="CD29" s="784"/>
      <c r="CE29" s="784"/>
    </row>
    <row r="30" spans="2:98">
      <c r="B30" s="178" t="s">
        <v>218</v>
      </c>
      <c r="C30" s="178"/>
      <c r="D30" s="179"/>
      <c r="E30" s="179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730"/>
      <c r="AV30" s="178"/>
      <c r="AW30" s="178"/>
      <c r="AX30" s="178"/>
      <c r="AY30" s="765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770"/>
      <c r="BK30" s="770"/>
      <c r="BL30" s="770"/>
      <c r="BM30" s="770"/>
      <c r="BN30" s="770"/>
      <c r="BO30" s="770"/>
      <c r="BP30" s="770"/>
      <c r="BQ30" s="770"/>
      <c r="BR30" s="770"/>
      <c r="BS30" s="770"/>
      <c r="BT30" s="730"/>
      <c r="BU30" s="775"/>
      <c r="BV30" s="770"/>
      <c r="BW30" s="730"/>
      <c r="BX30" s="770"/>
      <c r="BY30" s="770"/>
      <c r="BZ30" s="770"/>
      <c r="CA30" s="770"/>
      <c r="CB30" s="730"/>
      <c r="CC30" s="785"/>
      <c r="CD30" s="785"/>
      <c r="CE30" s="785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</row>
    <row r="31" spans="2:98">
      <c r="B31" t="s">
        <v>220</v>
      </c>
      <c r="C31" s="32" t="s">
        <v>238</v>
      </c>
      <c r="D31" s="613"/>
      <c r="E31" s="614"/>
      <c r="F31" s="714">
        <f>D31*CT31</f>
        <v>0</v>
      </c>
      <c r="G31" s="715">
        <f>F31+CK31+CL31-CI31</f>
        <v>0</v>
      </c>
      <c r="H31" s="41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6"/>
      <c r="AA31" s="686"/>
      <c r="AB31" s="686"/>
      <c r="AC31" s="686"/>
      <c r="AD31" s="686"/>
      <c r="AE31" s="684"/>
      <c r="AF31" s="720" t="str">
        <f>IFERROR(N31/$J31,"-")</f>
        <v>-</v>
      </c>
      <c r="AG31" s="720" t="str">
        <f>IFERROR(P31/$J31,"-")</f>
        <v>-</v>
      </c>
      <c r="AH31" s="720" t="str">
        <f>IFERROR(U31/$J31,"-")</f>
        <v>-</v>
      </c>
      <c r="AI31" s="720" t="str">
        <f>IFERROR(Y31/$J31,"-")</f>
        <v>-</v>
      </c>
      <c r="AJ31" s="687"/>
      <c r="AK31" s="720" t="str">
        <f>IFERROR((K31-I31)/I31,"-")</f>
        <v>-</v>
      </c>
      <c r="AL31" s="720" t="str">
        <f>IFERROR((L31-J31)/J31,"-")</f>
        <v>-</v>
      </c>
      <c r="AM31" s="720" t="str">
        <f>IFERROR((Q31-O31)/O31,"-")</f>
        <v>-</v>
      </c>
      <c r="AN31" s="720" t="str">
        <f>IFERROR((R31-P31)/P31,"-")</f>
        <v>-</v>
      </c>
      <c r="AO31" s="721" t="str">
        <f>IFERROR((AB31-Z31)/Z31,"-")</f>
        <v>-</v>
      </c>
      <c r="AP31" s="721" t="str">
        <f>IFERROR((AC31-AA31)/AA31,"-")</f>
        <v>-</v>
      </c>
      <c r="AQ31" s="687"/>
      <c r="AR31" s="686"/>
      <c r="AS31" s="687"/>
      <c r="AT31" s="720" t="str">
        <f>IFERROR((Y31+CO31)/(CG31+CJ31),"-")</f>
        <v>-</v>
      </c>
      <c r="AU31" s="720" t="str">
        <f>IFERROR(Y31/(CG31-CJ31),"-")</f>
        <v>-</v>
      </c>
      <c r="AV31" s="720" t="str">
        <f>IFERROR(Y31/CG31,"-")</f>
        <v>-</v>
      </c>
      <c r="AW31" s="720" t="str">
        <f>IFERROR(CS31/D31,"-")</f>
        <v>-</v>
      </c>
      <c r="AX31" s="688"/>
      <c r="AY31" s="720" t="str">
        <f>IFERROR(CJ31/(CG31+CJ31),"-")</f>
        <v>-</v>
      </c>
      <c r="AZ31" s="726" t="str">
        <f>IFERROR(CJ31/P31,"-")</f>
        <v>-</v>
      </c>
      <c r="BA31" s="726" t="str">
        <f>IFERROR((CJ31-CI31)/P31,"-")</f>
        <v>-</v>
      </c>
      <c r="BB31" s="689"/>
      <c r="BC31" s="726" t="str">
        <f>IFERROR(P31/CO31,"-")</f>
        <v>-</v>
      </c>
      <c r="BD31" s="726" t="str">
        <f>IFERROR(P31/CP31,"-")</f>
        <v>-</v>
      </c>
      <c r="BE31" s="726" t="str">
        <f>IFERROR(U31/CO31,"-")</f>
        <v>-</v>
      </c>
      <c r="BF31" s="688"/>
      <c r="BG31" s="690"/>
      <c r="BH31" s="690"/>
      <c r="BI31" s="48"/>
      <c r="BJ31" s="764" t="str">
        <f>IFERROR($G31/J31,"-")</f>
        <v>-</v>
      </c>
      <c r="BK31" s="764" t="str">
        <f>IFERROR($G31/L31,"-")</f>
        <v>-</v>
      </c>
      <c r="BL31" s="764" t="str">
        <f>IFERROR($G31/M31,"-")</f>
        <v>-</v>
      </c>
      <c r="BM31" s="769"/>
      <c r="BN31" s="764" t="str">
        <f>IFERROR($G31/P31,"-")</f>
        <v>-</v>
      </c>
      <c r="BO31" s="764" t="str">
        <f>IFERROR($G31/R31,"-")</f>
        <v>-</v>
      </c>
      <c r="BP31" s="764" t="str">
        <f>IFERROR($G31/S31,"-")</f>
        <v>-</v>
      </c>
      <c r="BQ31" s="764" t="str">
        <f>IFERROR($G31/U31,"-")</f>
        <v>-</v>
      </c>
      <c r="BR31" s="764" t="str">
        <f>IFERROR($G31/V31,"-")</f>
        <v>-</v>
      </c>
      <c r="BS31" s="764" t="str">
        <f>IFERROR($G31/X31,"-")</f>
        <v>-</v>
      </c>
      <c r="BT31" s="43"/>
      <c r="BU31" s="720" t="str">
        <f>IFERROR(AG31,"-")</f>
        <v>-</v>
      </c>
      <c r="BV31" s="782" t="str">
        <f>IFERROR(CJ31/P31,"-")</f>
        <v>-</v>
      </c>
      <c r="BW31" s="43"/>
      <c r="BX31" s="764" t="str">
        <f>IFERROR(D31/AA31,"-")</f>
        <v>-</v>
      </c>
      <c r="BY31" s="764" t="str">
        <f>IFERROR(D31/Z31,"-")</f>
        <v>-</v>
      </c>
      <c r="BZ31" s="764" t="str">
        <f>IFERROR(D31/AC31,"-")</f>
        <v>-</v>
      </c>
      <c r="CA31" s="764" t="str">
        <f>IFERROR(D31/AD31,"-")</f>
        <v>-</v>
      </c>
      <c r="CB31" s="43"/>
      <c r="CC31" s="720" t="str">
        <f>IFERROR((BX31-BY31)/BY31,"-")</f>
        <v>-</v>
      </c>
      <c r="CD31" s="720" t="str">
        <f>IFERROR(CR31/D31,"-")</f>
        <v>-</v>
      </c>
      <c r="CE31" s="777" t="str">
        <f>IFERROR(CO31/P31,"-")</f>
        <v>-</v>
      </c>
      <c r="CF31" s="600"/>
      <c r="CG31" s="683"/>
      <c r="CH31" s="683"/>
      <c r="CI31" s="683"/>
      <c r="CJ31" s="683"/>
      <c r="CK31" s="683"/>
      <c r="CL31" s="683"/>
      <c r="CM31" s="742">
        <f>IFERROR(G31-CI31,"-")</f>
        <v>0</v>
      </c>
      <c r="CN31" s="600"/>
      <c r="CO31" s="683"/>
      <c r="CP31" s="683"/>
      <c r="CQ31" s="600"/>
      <c r="CR31" s="683"/>
      <c r="CS31" s="683"/>
      <c r="CT31" s="683"/>
    </row>
    <row r="32" spans="2:98">
      <c r="B32" t="s">
        <v>221</v>
      </c>
      <c r="C32" s="32" t="s">
        <v>239</v>
      </c>
      <c r="D32" s="613"/>
      <c r="E32" s="614"/>
      <c r="F32" s="714">
        <f>D32*CT32</f>
        <v>0</v>
      </c>
      <c r="G32" s="715">
        <f>F32+CK32+CL32-CI32</f>
        <v>0</v>
      </c>
      <c r="H32" s="41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85"/>
      <c r="Y32" s="685"/>
      <c r="Z32" s="686"/>
      <c r="AA32" s="686"/>
      <c r="AB32" s="686"/>
      <c r="AC32" s="686"/>
      <c r="AD32" s="686"/>
      <c r="AE32" s="684"/>
      <c r="AF32" s="720" t="str">
        <f t="shared" ref="AF32:AF35" si="66">IFERROR(N32/$J32,"-")</f>
        <v>-</v>
      </c>
      <c r="AG32" s="720" t="str">
        <f t="shared" ref="AG32:AG35" si="67">IFERROR(P32/$J32,"-")</f>
        <v>-</v>
      </c>
      <c r="AH32" s="720" t="str">
        <f t="shared" ref="AH32:AH35" si="68">IFERROR(U32/$J32,"-")</f>
        <v>-</v>
      </c>
      <c r="AI32" s="720" t="str">
        <f t="shared" ref="AI32:AI35" si="69">IFERROR(Y32/$J32,"-")</f>
        <v>-</v>
      </c>
      <c r="AJ32" s="687"/>
      <c r="AK32" s="720" t="str">
        <f t="shared" ref="AK32:AK35" si="70">IFERROR((K32-I32)/I32,"-")</f>
        <v>-</v>
      </c>
      <c r="AL32" s="720" t="str">
        <f t="shared" ref="AL32:AL35" si="71">IFERROR((L32-J32)/J32,"-")</f>
        <v>-</v>
      </c>
      <c r="AM32" s="720" t="str">
        <f t="shared" ref="AM32:AM35" si="72">IFERROR((Q32-O32)/O32,"-")</f>
        <v>-</v>
      </c>
      <c r="AN32" s="720" t="str">
        <f t="shared" ref="AN32:AN35" si="73">IFERROR((R32-P32)/P32,"-")</f>
        <v>-</v>
      </c>
      <c r="AO32" s="721" t="str">
        <f t="shared" ref="AO32:AO35" si="74">IFERROR((AB32-Z32)/Z32,"-")</f>
        <v>-</v>
      </c>
      <c r="AP32" s="721" t="str">
        <f t="shared" ref="AP32:AP35" si="75">IFERROR((AC32-AA32)/AA32,"-")</f>
        <v>-</v>
      </c>
      <c r="AQ32" s="687"/>
      <c r="AR32" s="686"/>
      <c r="AS32" s="687"/>
      <c r="AT32" s="720" t="str">
        <f>IFERROR((Y32+CO32)/(CG32+CJ32),"-")</f>
        <v>-</v>
      </c>
      <c r="AU32" s="720" t="str">
        <f>IFERROR(Y32/(CG32-CJ32),"-")</f>
        <v>-</v>
      </c>
      <c r="AV32" s="720" t="str">
        <f>IFERROR(Y32/CG32,"-")</f>
        <v>-</v>
      </c>
      <c r="AW32" s="720" t="str">
        <f>IFERROR(CS32/D32,"-")</f>
        <v>-</v>
      </c>
      <c r="AX32" s="688"/>
      <c r="AY32" s="720" t="str">
        <f t="shared" ref="AY32:AY35" si="76">IFERROR(CJ32/(CG32+CJ32),"-")</f>
        <v>-</v>
      </c>
      <c r="AZ32" s="726" t="str">
        <f>IFERROR(CJ32/P32,"-")</f>
        <v>-</v>
      </c>
      <c r="BA32" s="726" t="str">
        <f>IFERROR((CJ32-CI32)/P32,"-")</f>
        <v>-</v>
      </c>
      <c r="BB32" s="689"/>
      <c r="BC32" s="726" t="str">
        <f>IFERROR(P32/CO32,"-")</f>
        <v>-</v>
      </c>
      <c r="BD32" s="726" t="str">
        <f>IFERROR(P32/CP32,"-")</f>
        <v>-</v>
      </c>
      <c r="BE32" s="726" t="str">
        <f>IFERROR(U32/CO32,"-")</f>
        <v>-</v>
      </c>
      <c r="BF32" s="688"/>
      <c r="BG32" s="690"/>
      <c r="BH32" s="690"/>
      <c r="BI32" s="48"/>
      <c r="BJ32" s="764" t="str">
        <f t="shared" ref="BJ32:BJ34" si="77">IFERROR($G32/J32,"-")</f>
        <v>-</v>
      </c>
      <c r="BK32" s="764" t="str">
        <f t="shared" ref="BK32:BK34" si="78">IFERROR($G32/L32,"-")</f>
        <v>-</v>
      </c>
      <c r="BL32" s="764" t="str">
        <f t="shared" ref="BL32:BL34" si="79">IFERROR($G32/M32,"-")</f>
        <v>-</v>
      </c>
      <c r="BM32" s="769"/>
      <c r="BN32" s="764" t="str">
        <f t="shared" ref="BN32:BN34" si="80">IFERROR($G32/P32,"-")</f>
        <v>-</v>
      </c>
      <c r="BO32" s="764" t="str">
        <f t="shared" ref="BO32:BO34" si="81">IFERROR($G32/R32,"-")</f>
        <v>-</v>
      </c>
      <c r="BP32" s="764" t="str">
        <f t="shared" ref="BP32:BP34" si="82">IFERROR($G32/S32,"-")</f>
        <v>-</v>
      </c>
      <c r="BQ32" s="764" t="str">
        <f t="shared" ref="BQ32:BQ34" si="83">IFERROR($G32/U32,"-")</f>
        <v>-</v>
      </c>
      <c r="BR32" s="764" t="str">
        <f t="shared" ref="BR32:BR34" si="84">IFERROR($G32/V32,"-")</f>
        <v>-</v>
      </c>
      <c r="BS32" s="764" t="str">
        <f t="shared" ref="BS32:BS34" si="85">IFERROR($G32/X32,"-")</f>
        <v>-</v>
      </c>
      <c r="BT32" s="43"/>
      <c r="BU32" s="720" t="str">
        <f t="shared" ref="BU32:BU34" si="86">IFERROR(AG32,"-")</f>
        <v>-</v>
      </c>
      <c r="BV32" s="782" t="str">
        <f t="shared" ref="BV32:BV34" si="87">IFERROR(CJ32/P32,"-")</f>
        <v>-</v>
      </c>
      <c r="BW32" s="43"/>
      <c r="BX32" s="764" t="str">
        <f t="shared" ref="BX32:BX34" si="88">IFERROR(D32/AA32,"-")</f>
        <v>-</v>
      </c>
      <c r="BY32" s="764" t="str">
        <f t="shared" ref="BY32:BY34" si="89">IFERROR(D32/Z32,"-")</f>
        <v>-</v>
      </c>
      <c r="BZ32" s="764" t="str">
        <f t="shared" ref="BZ32:BZ34" si="90">IFERROR(D32/AC32,"-")</f>
        <v>-</v>
      </c>
      <c r="CA32" s="764" t="str">
        <f t="shared" ref="CA32:CA34" si="91">IFERROR(D32/AD32,"-")</f>
        <v>-</v>
      </c>
      <c r="CB32" s="43"/>
      <c r="CC32" s="720" t="str">
        <f t="shared" ref="CC32:CC34" si="92">IFERROR((BX32-BY32)/BY32,"-")</f>
        <v>-</v>
      </c>
      <c r="CD32" s="720" t="str">
        <f t="shared" ref="CD32:CD34" si="93">IFERROR(CR32/D32,"-")</f>
        <v>-</v>
      </c>
      <c r="CE32" s="777" t="str">
        <f t="shared" ref="CE32:CE34" si="94">IFERROR(CO32/P32,"-")</f>
        <v>-</v>
      </c>
      <c r="CF32" s="600"/>
      <c r="CG32" s="683"/>
      <c r="CH32" s="683"/>
      <c r="CI32" s="683"/>
      <c r="CJ32" s="683"/>
      <c r="CK32" s="683"/>
      <c r="CL32" s="683"/>
      <c r="CM32" s="742">
        <f>G32-CI32</f>
        <v>0</v>
      </c>
      <c r="CN32" s="600"/>
      <c r="CO32" s="683"/>
      <c r="CP32" s="683"/>
      <c r="CQ32" s="600"/>
      <c r="CR32" s="683"/>
      <c r="CS32" s="683"/>
      <c r="CT32" s="683"/>
    </row>
    <row r="33" spans="2:98">
      <c r="B33" t="s">
        <v>222</v>
      </c>
      <c r="C33" s="32" t="s">
        <v>241</v>
      </c>
      <c r="D33" s="613"/>
      <c r="E33" s="614"/>
      <c r="F33" s="714">
        <f>D33*CT33</f>
        <v>0</v>
      </c>
      <c r="G33" s="715">
        <f>F33+CK33+CL33-CI33</f>
        <v>0</v>
      </c>
      <c r="H33" s="41"/>
      <c r="I33" s="685"/>
      <c r="J33" s="685"/>
      <c r="K33" s="685"/>
      <c r="L33" s="685"/>
      <c r="M33" s="685"/>
      <c r="N33" s="685"/>
      <c r="O33" s="685"/>
      <c r="P33" s="685"/>
      <c r="Q33" s="685"/>
      <c r="R33" s="685"/>
      <c r="S33" s="685"/>
      <c r="T33" s="685"/>
      <c r="U33" s="685"/>
      <c r="V33" s="685"/>
      <c r="W33" s="685"/>
      <c r="X33" s="685"/>
      <c r="Y33" s="685"/>
      <c r="Z33" s="686"/>
      <c r="AA33" s="686"/>
      <c r="AB33" s="686"/>
      <c r="AC33" s="686"/>
      <c r="AD33" s="686"/>
      <c r="AE33" s="684"/>
      <c r="AF33" s="720" t="str">
        <f t="shared" si="66"/>
        <v>-</v>
      </c>
      <c r="AG33" s="720" t="str">
        <f t="shared" si="67"/>
        <v>-</v>
      </c>
      <c r="AH33" s="720" t="str">
        <f t="shared" si="68"/>
        <v>-</v>
      </c>
      <c r="AI33" s="720" t="str">
        <f t="shared" si="69"/>
        <v>-</v>
      </c>
      <c r="AJ33" s="687"/>
      <c r="AK33" s="720" t="str">
        <f t="shared" si="70"/>
        <v>-</v>
      </c>
      <c r="AL33" s="720" t="str">
        <f t="shared" si="71"/>
        <v>-</v>
      </c>
      <c r="AM33" s="720" t="str">
        <f t="shared" si="72"/>
        <v>-</v>
      </c>
      <c r="AN33" s="720" t="str">
        <f t="shared" si="73"/>
        <v>-</v>
      </c>
      <c r="AO33" s="721" t="str">
        <f t="shared" si="74"/>
        <v>-</v>
      </c>
      <c r="AP33" s="721" t="str">
        <f t="shared" si="75"/>
        <v>-</v>
      </c>
      <c r="AQ33" s="687"/>
      <c r="AR33" s="686"/>
      <c r="AS33" s="687"/>
      <c r="AT33" s="720" t="str">
        <f>IFERROR((Y33+CO33)/(CG33+CJ33),"-")</f>
        <v>-</v>
      </c>
      <c r="AU33" s="720" t="str">
        <f>IFERROR(Y33/(CG33-CJ33),"-")</f>
        <v>-</v>
      </c>
      <c r="AV33" s="720" t="str">
        <f>IFERROR(Y33/CG33,"-")</f>
        <v>-</v>
      </c>
      <c r="AW33" s="720" t="str">
        <f>IFERROR(CS33/D33,"-")</f>
        <v>-</v>
      </c>
      <c r="AX33" s="688"/>
      <c r="AY33" s="720" t="str">
        <f t="shared" si="76"/>
        <v>-</v>
      </c>
      <c r="AZ33" s="726" t="str">
        <f>IFERROR(CJ33/P33,"-")</f>
        <v>-</v>
      </c>
      <c r="BA33" s="726" t="str">
        <f>IFERROR((CJ33-CI33)/P33,"-")</f>
        <v>-</v>
      </c>
      <c r="BB33" s="689"/>
      <c r="BC33" s="726" t="str">
        <f>IFERROR(P33/CO33,"-")</f>
        <v>-</v>
      </c>
      <c r="BD33" s="726" t="str">
        <f>IFERROR(P33/CP33,"-")</f>
        <v>-</v>
      </c>
      <c r="BE33" s="726" t="str">
        <f>IFERROR(U33/CO33,"-")</f>
        <v>-</v>
      </c>
      <c r="BF33" s="688"/>
      <c r="BG33" s="690"/>
      <c r="BH33" s="690"/>
      <c r="BI33" s="48"/>
      <c r="BJ33" s="764" t="str">
        <f t="shared" si="77"/>
        <v>-</v>
      </c>
      <c r="BK33" s="764" t="str">
        <f t="shared" si="78"/>
        <v>-</v>
      </c>
      <c r="BL33" s="764" t="str">
        <f t="shared" si="79"/>
        <v>-</v>
      </c>
      <c r="BM33" s="769"/>
      <c r="BN33" s="764" t="str">
        <f t="shared" si="80"/>
        <v>-</v>
      </c>
      <c r="BO33" s="764" t="str">
        <f t="shared" si="81"/>
        <v>-</v>
      </c>
      <c r="BP33" s="764" t="str">
        <f t="shared" si="82"/>
        <v>-</v>
      </c>
      <c r="BQ33" s="764" t="str">
        <f t="shared" si="83"/>
        <v>-</v>
      </c>
      <c r="BR33" s="764" t="str">
        <f t="shared" si="84"/>
        <v>-</v>
      </c>
      <c r="BS33" s="764" t="str">
        <f t="shared" si="85"/>
        <v>-</v>
      </c>
      <c r="BT33" s="43"/>
      <c r="BU33" s="720" t="str">
        <f t="shared" si="86"/>
        <v>-</v>
      </c>
      <c r="BV33" s="782" t="str">
        <f t="shared" si="87"/>
        <v>-</v>
      </c>
      <c r="BW33" s="43"/>
      <c r="BX33" s="764" t="str">
        <f t="shared" si="88"/>
        <v>-</v>
      </c>
      <c r="BY33" s="764" t="str">
        <f t="shared" si="89"/>
        <v>-</v>
      </c>
      <c r="BZ33" s="764" t="str">
        <f t="shared" si="90"/>
        <v>-</v>
      </c>
      <c r="CA33" s="764" t="str">
        <f t="shared" si="91"/>
        <v>-</v>
      </c>
      <c r="CB33" s="43"/>
      <c r="CC33" s="720" t="str">
        <f t="shared" si="92"/>
        <v>-</v>
      </c>
      <c r="CD33" s="720" t="str">
        <f t="shared" si="93"/>
        <v>-</v>
      </c>
      <c r="CE33" s="777" t="str">
        <f t="shared" si="94"/>
        <v>-</v>
      </c>
      <c r="CF33" s="600"/>
      <c r="CG33" s="683"/>
      <c r="CH33" s="683"/>
      <c r="CI33" s="683"/>
      <c r="CJ33" s="683"/>
      <c r="CK33" s="683"/>
      <c r="CL33" s="683"/>
      <c r="CM33" s="742">
        <f>G33-CI33</f>
        <v>0</v>
      </c>
      <c r="CN33" s="600"/>
      <c r="CO33" s="683"/>
      <c r="CP33" s="683"/>
      <c r="CQ33" s="600"/>
      <c r="CR33" s="683"/>
      <c r="CS33" s="683"/>
      <c r="CT33" s="683"/>
    </row>
    <row r="34" spans="2:98">
      <c r="B34" t="s">
        <v>223</v>
      </c>
      <c r="C34" s="32" t="s">
        <v>243</v>
      </c>
      <c r="D34" s="613"/>
      <c r="E34" s="614"/>
      <c r="F34" s="714">
        <f>D34*CT34</f>
        <v>0</v>
      </c>
      <c r="G34" s="715">
        <f>F34+CK34+CL34-CI34</f>
        <v>0</v>
      </c>
      <c r="H34" s="41"/>
      <c r="I34" s="685"/>
      <c r="J34" s="685"/>
      <c r="K34" s="685"/>
      <c r="L34" s="685"/>
      <c r="M34" s="685"/>
      <c r="N34" s="685"/>
      <c r="O34" s="685"/>
      <c r="P34" s="685"/>
      <c r="Q34" s="685"/>
      <c r="R34" s="685"/>
      <c r="S34" s="685"/>
      <c r="T34" s="685"/>
      <c r="U34" s="685"/>
      <c r="V34" s="685"/>
      <c r="W34" s="685"/>
      <c r="X34" s="685"/>
      <c r="Y34" s="685"/>
      <c r="Z34" s="686"/>
      <c r="AA34" s="686"/>
      <c r="AB34" s="686"/>
      <c r="AC34" s="686"/>
      <c r="AD34" s="686"/>
      <c r="AE34" s="684"/>
      <c r="AF34" s="720" t="str">
        <f t="shared" si="66"/>
        <v>-</v>
      </c>
      <c r="AG34" s="720" t="str">
        <f t="shared" si="67"/>
        <v>-</v>
      </c>
      <c r="AH34" s="720" t="str">
        <f t="shared" si="68"/>
        <v>-</v>
      </c>
      <c r="AI34" s="720" t="str">
        <f t="shared" si="69"/>
        <v>-</v>
      </c>
      <c r="AJ34" s="687"/>
      <c r="AK34" s="720" t="str">
        <f t="shared" si="70"/>
        <v>-</v>
      </c>
      <c r="AL34" s="720" t="str">
        <f t="shared" si="71"/>
        <v>-</v>
      </c>
      <c r="AM34" s="720" t="str">
        <f t="shared" si="72"/>
        <v>-</v>
      </c>
      <c r="AN34" s="720" t="str">
        <f t="shared" si="73"/>
        <v>-</v>
      </c>
      <c r="AO34" s="721" t="str">
        <f t="shared" si="74"/>
        <v>-</v>
      </c>
      <c r="AP34" s="721" t="str">
        <f t="shared" si="75"/>
        <v>-</v>
      </c>
      <c r="AQ34" s="687"/>
      <c r="AR34" s="686"/>
      <c r="AS34" s="687"/>
      <c r="AT34" s="720" t="str">
        <f>IFERROR((Y34+CO34)/(CG34+CJ34),"-")</f>
        <v>-</v>
      </c>
      <c r="AU34" s="720" t="str">
        <f>IFERROR(Y34/(CG34-CJ34),"-")</f>
        <v>-</v>
      </c>
      <c r="AV34" s="720" t="str">
        <f>IFERROR(Y34/CG34,"-")</f>
        <v>-</v>
      </c>
      <c r="AW34" s="720" t="str">
        <f>IFERROR(CS34/D34,"-")</f>
        <v>-</v>
      </c>
      <c r="AX34" s="688"/>
      <c r="AY34" s="720" t="str">
        <f t="shared" si="76"/>
        <v>-</v>
      </c>
      <c r="AZ34" s="726" t="str">
        <f>IFERROR(CJ34/P34,"-")</f>
        <v>-</v>
      </c>
      <c r="BA34" s="726" t="str">
        <f>IFERROR((CJ34-CI34)/P34,"-")</f>
        <v>-</v>
      </c>
      <c r="BB34" s="689"/>
      <c r="BC34" s="726" t="str">
        <f>IFERROR(P34/CO34,"-")</f>
        <v>-</v>
      </c>
      <c r="BD34" s="726" t="str">
        <f>IFERROR(P34/CP34,"-")</f>
        <v>-</v>
      </c>
      <c r="BE34" s="726" t="str">
        <f>IFERROR(U34/CO34,"-")</f>
        <v>-</v>
      </c>
      <c r="BF34" s="688"/>
      <c r="BG34" s="690"/>
      <c r="BH34" s="690"/>
      <c r="BI34" s="48"/>
      <c r="BJ34" s="764" t="str">
        <f t="shared" si="77"/>
        <v>-</v>
      </c>
      <c r="BK34" s="764" t="str">
        <f t="shared" si="78"/>
        <v>-</v>
      </c>
      <c r="BL34" s="764" t="str">
        <f t="shared" si="79"/>
        <v>-</v>
      </c>
      <c r="BM34" s="769"/>
      <c r="BN34" s="764" t="str">
        <f t="shared" si="80"/>
        <v>-</v>
      </c>
      <c r="BO34" s="764" t="str">
        <f t="shared" si="81"/>
        <v>-</v>
      </c>
      <c r="BP34" s="764" t="str">
        <f t="shared" si="82"/>
        <v>-</v>
      </c>
      <c r="BQ34" s="764" t="str">
        <f t="shared" si="83"/>
        <v>-</v>
      </c>
      <c r="BR34" s="764" t="str">
        <f t="shared" si="84"/>
        <v>-</v>
      </c>
      <c r="BS34" s="764" t="str">
        <f t="shared" si="85"/>
        <v>-</v>
      </c>
      <c r="BT34" s="43"/>
      <c r="BU34" s="720" t="str">
        <f t="shared" si="86"/>
        <v>-</v>
      </c>
      <c r="BV34" s="782" t="str">
        <f t="shared" si="87"/>
        <v>-</v>
      </c>
      <c r="BW34" s="43"/>
      <c r="BX34" s="764" t="str">
        <f t="shared" si="88"/>
        <v>-</v>
      </c>
      <c r="BY34" s="764" t="str">
        <f t="shared" si="89"/>
        <v>-</v>
      </c>
      <c r="BZ34" s="764" t="str">
        <f t="shared" si="90"/>
        <v>-</v>
      </c>
      <c r="CA34" s="764" t="str">
        <f t="shared" si="91"/>
        <v>-</v>
      </c>
      <c r="CB34" s="43"/>
      <c r="CC34" s="720" t="str">
        <f t="shared" si="92"/>
        <v>-</v>
      </c>
      <c r="CD34" s="720" t="str">
        <f t="shared" si="93"/>
        <v>-</v>
      </c>
      <c r="CE34" s="777" t="str">
        <f t="shared" si="94"/>
        <v>-</v>
      </c>
      <c r="CF34" s="600"/>
      <c r="CG34" s="683"/>
      <c r="CH34" s="683"/>
      <c r="CI34" s="683"/>
      <c r="CJ34" s="683"/>
      <c r="CK34" s="683"/>
      <c r="CL34" s="683"/>
      <c r="CM34" s="742">
        <f>G34-CI34</f>
        <v>0</v>
      </c>
      <c r="CN34" s="600"/>
      <c r="CO34" s="683"/>
      <c r="CP34" s="683"/>
      <c r="CQ34" s="600"/>
      <c r="CR34" s="683"/>
      <c r="CS34" s="683"/>
      <c r="CT34" s="683"/>
    </row>
    <row r="35" spans="2:98">
      <c r="B35" t="s">
        <v>230</v>
      </c>
      <c r="C35" s="32" t="s">
        <v>242</v>
      </c>
      <c r="D35" s="613"/>
      <c r="E35" s="614"/>
      <c r="F35" s="714">
        <f>D35*CT35</f>
        <v>0</v>
      </c>
      <c r="G35" s="715">
        <f>F35+CK35+CL35-CI35</f>
        <v>0</v>
      </c>
      <c r="H35" s="41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5"/>
      <c r="V35" s="685"/>
      <c r="W35" s="685"/>
      <c r="X35" s="685"/>
      <c r="Y35" s="685"/>
      <c r="Z35" s="686"/>
      <c r="AA35" s="686"/>
      <c r="AB35" s="686"/>
      <c r="AC35" s="686"/>
      <c r="AD35" s="686"/>
      <c r="AE35" s="684"/>
      <c r="AF35" s="720" t="str">
        <f t="shared" si="66"/>
        <v>-</v>
      </c>
      <c r="AG35" s="720" t="str">
        <f t="shared" si="67"/>
        <v>-</v>
      </c>
      <c r="AH35" s="720" t="str">
        <f t="shared" si="68"/>
        <v>-</v>
      </c>
      <c r="AI35" s="720" t="str">
        <f t="shared" si="69"/>
        <v>-</v>
      </c>
      <c r="AJ35" s="687"/>
      <c r="AK35" s="720" t="str">
        <f t="shared" si="70"/>
        <v>-</v>
      </c>
      <c r="AL35" s="720" t="str">
        <f t="shared" si="71"/>
        <v>-</v>
      </c>
      <c r="AM35" s="720" t="str">
        <f t="shared" si="72"/>
        <v>-</v>
      </c>
      <c r="AN35" s="720" t="str">
        <f t="shared" si="73"/>
        <v>-</v>
      </c>
      <c r="AO35" s="721" t="str">
        <f t="shared" si="74"/>
        <v>-</v>
      </c>
      <c r="AP35" s="721" t="str">
        <f t="shared" si="75"/>
        <v>-</v>
      </c>
      <c r="AQ35" s="687"/>
      <c r="AR35" s="686"/>
      <c r="AS35" s="687"/>
      <c r="AT35" s="720" t="str">
        <f>IFERROR((Y35+CO35)/(CG35+CJ35),"-")</f>
        <v>-</v>
      </c>
      <c r="AU35" s="720" t="str">
        <f>IFERROR(Y35/(CG35-CJ35),"-")</f>
        <v>-</v>
      </c>
      <c r="AV35" s="720" t="str">
        <f>IFERROR(Y35/CG35,"-")</f>
        <v>-</v>
      </c>
      <c r="AW35" s="720" t="str">
        <f>IFERROR(CS35/D35,"-")</f>
        <v>-</v>
      </c>
      <c r="AX35" s="688"/>
      <c r="AY35" s="720" t="str">
        <f t="shared" si="76"/>
        <v>-</v>
      </c>
      <c r="AZ35" s="726" t="str">
        <f>IFERROR(CJ35/P35,"-")</f>
        <v>-</v>
      </c>
      <c r="BA35" s="726" t="str">
        <f>IFERROR((CJ35-CI35)/P35,"-")</f>
        <v>-</v>
      </c>
      <c r="BB35" s="689"/>
      <c r="BC35" s="726" t="str">
        <f>IFERROR(P35/CO35,"-")</f>
        <v>-</v>
      </c>
      <c r="BD35" s="726" t="str">
        <f>IFERROR(P35/CP35,"-")</f>
        <v>-</v>
      </c>
      <c r="BE35" s="726" t="str">
        <f>IFERROR(U35/CO35,"-")</f>
        <v>-</v>
      </c>
      <c r="BF35" s="688"/>
      <c r="BG35" s="690"/>
      <c r="BH35" s="690"/>
      <c r="BI35" s="48"/>
      <c r="BJ35" s="764" t="str">
        <f>IFERROR($G35/J35,"-")</f>
        <v>-</v>
      </c>
      <c r="BK35" s="764" t="str">
        <f>IFERROR($G35/L35,"-")</f>
        <v>-</v>
      </c>
      <c r="BL35" s="764" t="str">
        <f>IFERROR($G35/M35,"-")</f>
        <v>-</v>
      </c>
      <c r="BM35" s="769"/>
      <c r="BN35" s="764" t="str">
        <f>IFERROR($G35/P35,"-")</f>
        <v>-</v>
      </c>
      <c r="BO35" s="764" t="str">
        <f>IFERROR($G35/R35,"-")</f>
        <v>-</v>
      </c>
      <c r="BP35" s="764" t="str">
        <f>IFERROR($G35/S35,"-")</f>
        <v>-</v>
      </c>
      <c r="BQ35" s="764" t="str">
        <f>IFERROR($G35/U35,"-")</f>
        <v>-</v>
      </c>
      <c r="BR35" s="764" t="str">
        <f>IFERROR($G35/V35,"-")</f>
        <v>-</v>
      </c>
      <c r="BS35" s="764" t="str">
        <f>IFERROR($G35/X35,"-")</f>
        <v>-</v>
      </c>
      <c r="BT35" s="43"/>
      <c r="BU35" s="720" t="str">
        <f>IFERROR(AG35,"-")</f>
        <v>-</v>
      </c>
      <c r="BV35" s="782" t="str">
        <f>IFERROR(CJ35/P35,"-")</f>
        <v>-</v>
      </c>
      <c r="BW35" s="43"/>
      <c r="BX35" s="764" t="str">
        <f>IFERROR(D35/AA35,"-")</f>
        <v>-</v>
      </c>
      <c r="BY35" s="764" t="str">
        <f>IFERROR(D35/Z35,"-")</f>
        <v>-</v>
      </c>
      <c r="BZ35" s="764" t="str">
        <f>IFERROR(D35/AC35,"-")</f>
        <v>-</v>
      </c>
      <c r="CA35" s="764" t="str">
        <f>IFERROR(D35/AD35,"-")</f>
        <v>-</v>
      </c>
      <c r="CB35" s="43"/>
      <c r="CC35" s="720" t="str">
        <f>IFERROR((BX35-BY35)/BY35,"-")</f>
        <v>-</v>
      </c>
      <c r="CD35" s="720" t="str">
        <f>IFERROR(CR35/D35,"-")</f>
        <v>-</v>
      </c>
      <c r="CE35" s="777" t="str">
        <f>IFERROR(CO35/P35,"-")</f>
        <v>-</v>
      </c>
      <c r="CF35" s="600"/>
      <c r="CG35" s="683"/>
      <c r="CH35" s="683"/>
      <c r="CI35" s="683"/>
      <c r="CJ35" s="683"/>
      <c r="CK35" s="683"/>
      <c r="CL35" s="683"/>
      <c r="CM35" s="742">
        <f>G35-CI35</f>
        <v>0</v>
      </c>
      <c r="CN35" s="600"/>
      <c r="CO35" s="683"/>
      <c r="CP35" s="683"/>
      <c r="CQ35" s="600"/>
      <c r="CR35" s="683"/>
      <c r="CS35" s="683"/>
      <c r="CT35" s="683"/>
    </row>
    <row r="36" spans="2:98">
      <c r="AY36" s="21"/>
      <c r="BJ36" s="733"/>
      <c r="BK36" s="733"/>
      <c r="BL36" s="733"/>
      <c r="BM36" s="733"/>
      <c r="BN36" s="733"/>
      <c r="BO36" s="733"/>
      <c r="BP36" s="733"/>
      <c r="BQ36" s="733"/>
      <c r="BR36" s="733"/>
      <c r="BS36" s="733"/>
      <c r="BT36" s="600"/>
      <c r="BU36" s="774"/>
      <c r="BV36" s="733"/>
      <c r="BW36" s="600"/>
      <c r="BX36" s="733"/>
      <c r="BY36" s="733"/>
      <c r="BZ36" s="733"/>
      <c r="CA36" s="733"/>
      <c r="CB36" s="600"/>
      <c r="CC36" s="784"/>
      <c r="CD36" s="784"/>
      <c r="CE36" s="784"/>
    </row>
    <row r="37" spans="2:98">
      <c r="B37" s="51" t="s">
        <v>219</v>
      </c>
      <c r="C37" s="52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3"/>
      <c r="AF37" s="718" t="str">
        <f>IFERROR(AVERAGE(AF31:AF35),"-")</f>
        <v>-</v>
      </c>
      <c r="AG37" s="718" t="str">
        <f t="shared" ref="AG37:CR37" si="95">IFERROR(AVERAGE(AG31:AG35),"-")</f>
        <v>-</v>
      </c>
      <c r="AH37" s="718" t="str">
        <f t="shared" si="95"/>
        <v>-</v>
      </c>
      <c r="AI37" s="718" t="str">
        <f t="shared" si="95"/>
        <v>-</v>
      </c>
      <c r="AJ37" s="700"/>
      <c r="AK37" s="718" t="str">
        <f t="shared" si="95"/>
        <v>-</v>
      </c>
      <c r="AL37" s="718" t="str">
        <f t="shared" si="95"/>
        <v>-</v>
      </c>
      <c r="AM37" s="718" t="str">
        <f t="shared" si="95"/>
        <v>-</v>
      </c>
      <c r="AN37" s="718" t="str">
        <f t="shared" si="95"/>
        <v>-</v>
      </c>
      <c r="AO37" s="718" t="str">
        <f t="shared" si="95"/>
        <v>-</v>
      </c>
      <c r="AP37" s="718" t="str">
        <f t="shared" si="95"/>
        <v>-</v>
      </c>
      <c r="AQ37" s="700"/>
      <c r="AR37" s="718" t="str">
        <f t="shared" si="95"/>
        <v>-</v>
      </c>
      <c r="AS37" s="700"/>
      <c r="AT37" s="718" t="str">
        <f t="shared" si="95"/>
        <v>-</v>
      </c>
      <c r="AU37" s="718" t="str">
        <f t="shared" si="95"/>
        <v>-</v>
      </c>
      <c r="AV37" s="718" t="str">
        <f t="shared" si="95"/>
        <v>-</v>
      </c>
      <c r="AW37" s="718" t="str">
        <f t="shared" si="95"/>
        <v>-</v>
      </c>
      <c r="AX37" s="700"/>
      <c r="AY37" s="752" t="str">
        <f t="shared" si="95"/>
        <v>-</v>
      </c>
      <c r="AZ37" s="718" t="str">
        <f t="shared" si="95"/>
        <v>-</v>
      </c>
      <c r="BA37" s="718" t="str">
        <f t="shared" si="95"/>
        <v>-</v>
      </c>
      <c r="BB37" s="700"/>
      <c r="BC37" s="718" t="str">
        <f t="shared" si="95"/>
        <v>-</v>
      </c>
      <c r="BD37" s="718" t="str">
        <f t="shared" si="95"/>
        <v>-</v>
      </c>
      <c r="BE37" s="718" t="str">
        <f t="shared" si="95"/>
        <v>-</v>
      </c>
      <c r="BF37" s="700"/>
      <c r="BG37" s="700"/>
      <c r="BH37" s="700"/>
      <c r="BI37" s="700"/>
      <c r="BJ37" s="761" t="str">
        <f t="shared" si="95"/>
        <v>-</v>
      </c>
      <c r="BK37" s="761" t="str">
        <f t="shared" si="95"/>
        <v>-</v>
      </c>
      <c r="BL37" s="761" t="str">
        <f t="shared" si="95"/>
        <v>-</v>
      </c>
      <c r="BM37" s="767"/>
      <c r="BN37" s="761" t="str">
        <f t="shared" si="95"/>
        <v>-</v>
      </c>
      <c r="BO37" s="761" t="str">
        <f t="shared" si="95"/>
        <v>-</v>
      </c>
      <c r="BP37" s="761" t="str">
        <f t="shared" si="95"/>
        <v>-</v>
      </c>
      <c r="BQ37" s="761" t="str">
        <f t="shared" si="95"/>
        <v>-</v>
      </c>
      <c r="BR37" s="761" t="str">
        <f t="shared" si="95"/>
        <v>-</v>
      </c>
      <c r="BS37" s="761" t="str">
        <f t="shared" si="95"/>
        <v>-</v>
      </c>
      <c r="BT37" s="700"/>
      <c r="BU37" s="752" t="str">
        <f t="shared" si="95"/>
        <v>-</v>
      </c>
      <c r="BV37" s="761" t="str">
        <f t="shared" si="95"/>
        <v>-</v>
      </c>
      <c r="BW37" s="700"/>
      <c r="BX37" s="761" t="str">
        <f t="shared" si="95"/>
        <v>-</v>
      </c>
      <c r="BY37" s="761" t="str">
        <f t="shared" si="95"/>
        <v>-</v>
      </c>
      <c r="BZ37" s="761" t="str">
        <f t="shared" si="95"/>
        <v>-</v>
      </c>
      <c r="CA37" s="761" t="str">
        <f t="shared" si="95"/>
        <v>-</v>
      </c>
      <c r="CB37" s="700"/>
      <c r="CC37" s="752" t="str">
        <f t="shared" si="95"/>
        <v>-</v>
      </c>
      <c r="CD37" s="752" t="str">
        <f t="shared" si="95"/>
        <v>-</v>
      </c>
      <c r="CE37" s="752" t="str">
        <f t="shared" si="95"/>
        <v>-</v>
      </c>
      <c r="CF37" s="700"/>
      <c r="CG37" s="700"/>
      <c r="CH37" s="700"/>
      <c r="CI37" s="700"/>
      <c r="CJ37" s="700"/>
      <c r="CK37" s="700"/>
      <c r="CL37" s="700"/>
      <c r="CM37" s="700"/>
      <c r="CN37" s="700"/>
      <c r="CO37" s="700"/>
      <c r="CP37" s="700"/>
      <c r="CQ37" s="700"/>
      <c r="CR37" s="718" t="str">
        <f t="shared" si="95"/>
        <v>-</v>
      </c>
      <c r="CS37" s="718" t="str">
        <f t="shared" ref="CS37" si="96">IFERROR(AVERAGE(CS31:CS35),"-")</f>
        <v>-</v>
      </c>
      <c r="CT37" s="746"/>
    </row>
    <row r="38" spans="2:98">
      <c r="B38" s="54" t="s">
        <v>170</v>
      </c>
      <c r="C38" s="55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6"/>
      <c r="AF38" s="719" t="str">
        <f>IFERROR(MEDIAN(AF31:AF35),"-")</f>
        <v>-</v>
      </c>
      <c r="AG38" s="719" t="str">
        <f t="shared" ref="AG38:CR38" si="97">IFERROR(MEDIAN(AG31:AG35),"-")</f>
        <v>-</v>
      </c>
      <c r="AH38" s="719" t="str">
        <f t="shared" si="97"/>
        <v>-</v>
      </c>
      <c r="AI38" s="719" t="str">
        <f t="shared" si="97"/>
        <v>-</v>
      </c>
      <c r="AJ38" s="701"/>
      <c r="AK38" s="719" t="str">
        <f t="shared" si="97"/>
        <v>-</v>
      </c>
      <c r="AL38" s="719" t="str">
        <f t="shared" si="97"/>
        <v>-</v>
      </c>
      <c r="AM38" s="719" t="str">
        <f t="shared" si="97"/>
        <v>-</v>
      </c>
      <c r="AN38" s="719" t="str">
        <f t="shared" si="97"/>
        <v>-</v>
      </c>
      <c r="AO38" s="719" t="str">
        <f t="shared" si="97"/>
        <v>-</v>
      </c>
      <c r="AP38" s="719" t="str">
        <f t="shared" si="97"/>
        <v>-</v>
      </c>
      <c r="AQ38" s="701"/>
      <c r="AR38" s="719" t="str">
        <f t="shared" si="97"/>
        <v>-</v>
      </c>
      <c r="AS38" s="701"/>
      <c r="AT38" s="719" t="str">
        <f t="shared" si="97"/>
        <v>-</v>
      </c>
      <c r="AU38" s="719" t="str">
        <f t="shared" si="97"/>
        <v>-</v>
      </c>
      <c r="AV38" s="719" t="str">
        <f t="shared" si="97"/>
        <v>-</v>
      </c>
      <c r="AW38" s="719" t="str">
        <f t="shared" si="97"/>
        <v>-</v>
      </c>
      <c r="AX38" s="701"/>
      <c r="AY38" s="754" t="str">
        <f t="shared" si="97"/>
        <v>-</v>
      </c>
      <c r="AZ38" s="719" t="str">
        <f t="shared" si="97"/>
        <v>-</v>
      </c>
      <c r="BA38" s="719" t="str">
        <f t="shared" si="97"/>
        <v>-</v>
      </c>
      <c r="BB38" s="701"/>
      <c r="BC38" s="719" t="str">
        <f t="shared" si="97"/>
        <v>-</v>
      </c>
      <c r="BD38" s="719" t="str">
        <f t="shared" si="97"/>
        <v>-</v>
      </c>
      <c r="BE38" s="719" t="str">
        <f t="shared" si="97"/>
        <v>-</v>
      </c>
      <c r="BF38" s="701"/>
      <c r="BG38" s="701"/>
      <c r="BH38" s="701"/>
      <c r="BI38" s="701"/>
      <c r="BJ38" s="762" t="str">
        <f t="shared" si="97"/>
        <v>-</v>
      </c>
      <c r="BK38" s="762" t="str">
        <f t="shared" si="97"/>
        <v>-</v>
      </c>
      <c r="BL38" s="762" t="str">
        <f t="shared" si="97"/>
        <v>-</v>
      </c>
      <c r="BM38" s="768"/>
      <c r="BN38" s="762" t="str">
        <f t="shared" si="97"/>
        <v>-</v>
      </c>
      <c r="BO38" s="762" t="str">
        <f t="shared" si="97"/>
        <v>-</v>
      </c>
      <c r="BP38" s="762" t="str">
        <f t="shared" si="97"/>
        <v>-</v>
      </c>
      <c r="BQ38" s="762" t="str">
        <f t="shared" si="97"/>
        <v>-</v>
      </c>
      <c r="BR38" s="762" t="str">
        <f t="shared" si="97"/>
        <v>-</v>
      </c>
      <c r="BS38" s="762" t="str">
        <f t="shared" si="97"/>
        <v>-</v>
      </c>
      <c r="BT38" s="701"/>
      <c r="BU38" s="754" t="str">
        <f t="shared" si="97"/>
        <v>-</v>
      </c>
      <c r="BV38" s="762" t="str">
        <f t="shared" si="97"/>
        <v>-</v>
      </c>
      <c r="BW38" s="701"/>
      <c r="BX38" s="762" t="str">
        <f t="shared" si="97"/>
        <v>-</v>
      </c>
      <c r="BY38" s="762" t="str">
        <f t="shared" si="97"/>
        <v>-</v>
      </c>
      <c r="BZ38" s="762" t="str">
        <f t="shared" si="97"/>
        <v>-</v>
      </c>
      <c r="CA38" s="762" t="str">
        <f t="shared" si="97"/>
        <v>-</v>
      </c>
      <c r="CB38" s="701"/>
      <c r="CC38" s="754" t="str">
        <f t="shared" si="97"/>
        <v>-</v>
      </c>
      <c r="CD38" s="754" t="str">
        <f t="shared" si="97"/>
        <v>-</v>
      </c>
      <c r="CE38" s="754" t="str">
        <f t="shared" si="97"/>
        <v>-</v>
      </c>
      <c r="CF38" s="701"/>
      <c r="CG38" s="701"/>
      <c r="CH38" s="701"/>
      <c r="CI38" s="701"/>
      <c r="CJ38" s="701"/>
      <c r="CK38" s="701"/>
      <c r="CL38" s="701"/>
      <c r="CM38" s="701"/>
      <c r="CN38" s="701"/>
      <c r="CO38" s="701"/>
      <c r="CP38" s="701"/>
      <c r="CQ38" s="701"/>
      <c r="CR38" s="719" t="str">
        <f t="shared" si="97"/>
        <v>-</v>
      </c>
      <c r="CS38" s="719" t="str">
        <f t="shared" ref="CS38" si="98">IFERROR(MEDIAN(CS31:CS35),"-")</f>
        <v>-</v>
      </c>
      <c r="CT38" s="747"/>
    </row>
    <row r="39" spans="2:98">
      <c r="AY39" s="21"/>
      <c r="BJ39" s="600"/>
      <c r="BK39" s="600"/>
      <c r="BL39" s="600"/>
      <c r="BM39" s="600"/>
      <c r="BN39" s="600"/>
      <c r="BO39" s="600"/>
      <c r="BP39" s="600"/>
      <c r="BQ39" s="600"/>
      <c r="BR39" s="600"/>
      <c r="BS39" s="600"/>
      <c r="BT39" s="600"/>
      <c r="BU39" s="774"/>
      <c r="BV39" s="600"/>
      <c r="BW39" s="600"/>
      <c r="BX39" s="600"/>
      <c r="BY39" s="600"/>
      <c r="BZ39" s="600"/>
      <c r="CA39" s="600"/>
      <c r="CB39" s="600"/>
      <c r="CC39" s="784"/>
      <c r="CD39" s="784"/>
      <c r="CE39" s="784"/>
    </row>
    <row r="40" spans="2:98">
      <c r="B40" s="51" t="s">
        <v>68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756">
        <f>MAX(AF11:AF15,AF21:AF25,AF31:AF35)</f>
        <v>0.74385706440877308</v>
      </c>
      <c r="AG40" s="756">
        <f>MAX(AG11:AG15,AG21:AG25,AG31:AG35)</f>
        <v>0.28740787238517418</v>
      </c>
      <c r="AH40" s="756">
        <f>MAX(AH11:AH15,AH21:AH25,AH31:AH35)</f>
        <v>0.20524815324133244</v>
      </c>
      <c r="AI40" s="756">
        <f>MAX(AI11:AI15,AI21:AI25,AI31:AI35)</f>
        <v>0.15236467295465209</v>
      </c>
      <c r="AJ40" s="757"/>
      <c r="AK40" s="756">
        <f t="shared" ref="AK40:AP40" si="99">MAX(AK11:AK15,AK21:AK25,AK31:AK35)</f>
        <v>0.15764338918439885</v>
      </c>
      <c r="AL40" s="756">
        <f t="shared" si="99"/>
        <v>0.18211695194882097</v>
      </c>
      <c r="AM40" s="756">
        <f t="shared" si="99"/>
        <v>1.8573825137802566</v>
      </c>
      <c r="AN40" s="756">
        <f t="shared" si="99"/>
        <v>0.95638766519823792</v>
      </c>
      <c r="AO40" s="756">
        <f t="shared" si="99"/>
        <v>123.39999999999999</v>
      </c>
      <c r="AP40" s="756">
        <f t="shared" si="99"/>
        <v>2.2894736842105261</v>
      </c>
      <c r="AQ40" s="697"/>
      <c r="AR40" s="727">
        <f>MAX(AR11:AR15,AR21:AR25,AR31:AR35)</f>
        <v>2.37</v>
      </c>
      <c r="AS40" s="697"/>
      <c r="AT40" s="756">
        <f>MAX(AT11:AT15,AT21:AT25,AT31:AT35)</f>
        <v>0.12538847706378353</v>
      </c>
      <c r="AU40" s="756">
        <f>MAX(AU11:AU15,AU21:AU25,AU31:AU35)</f>
        <v>0.51185776585805343</v>
      </c>
      <c r="AV40" s="756">
        <f>MAX(AV11:AV15,AV21:AV25,AV31:AV35)</f>
        <v>0.18070003257982814</v>
      </c>
      <c r="AW40" s="756">
        <f>MAX(AW11:AW15,AW21:AW25,AW31:AW35)</f>
        <v>4.3552885646856894E-2</v>
      </c>
      <c r="AX40" s="707"/>
      <c r="AY40" s="756">
        <f>MAX(AY11:AY15,AY21:AY25,AY31:AY35)</f>
        <v>0.42041353750121918</v>
      </c>
      <c r="AZ40" s="723">
        <f>MAX(AZ11:AZ15,AZ21:AZ25,AZ31:AZ35)</f>
        <v>9.7026431718061676</v>
      </c>
      <c r="BA40" s="723">
        <f>MAX(BA11:BA15,BA21:BA25,BA31:BA35)</f>
        <v>8.1828193832599112</v>
      </c>
      <c r="BB40" s="694"/>
      <c r="BC40" s="723">
        <f>MAX(BC11:BC15,BC21:BC25,BC31:BC35)</f>
        <v>49.467935706840748</v>
      </c>
      <c r="BD40" s="723">
        <f>MAX(BD11:BD15,BD21:BD25,BD31:BD35)</f>
        <v>6.1683916666666665</v>
      </c>
      <c r="BE40" s="723">
        <f>MAX(BE11:BE15,BE21:BE25,BE31:BE35)</f>
        <v>41.120412529485982</v>
      </c>
      <c r="BF40" s="697"/>
      <c r="BG40" s="697"/>
      <c r="BH40" s="697"/>
      <c r="BI40" s="697"/>
      <c r="BJ40" s="740">
        <f t="shared" ref="BJ40:BS40" si="100">MAX(BJ11:BJ15,BJ21:BJ25,BJ31:BJ35)</f>
        <v>3.4595840644545466</v>
      </c>
      <c r="BK40" s="740">
        <f t="shared" si="100"/>
        <v>3.2211081444615828</v>
      </c>
      <c r="BL40" s="740">
        <f t="shared" si="100"/>
        <v>2.9926157440662786</v>
      </c>
      <c r="BM40" s="731">
        <f t="shared" si="100"/>
        <v>0</v>
      </c>
      <c r="BN40" s="740">
        <f t="shared" si="100"/>
        <v>17.372322466960352</v>
      </c>
      <c r="BO40" s="740">
        <f t="shared" si="100"/>
        <v>11.646063012373649</v>
      </c>
      <c r="BP40" s="740">
        <f t="shared" si="100"/>
        <v>10.751365065561901</v>
      </c>
      <c r="BQ40" s="740">
        <f>MAX(BQ11:BQ15,BQ21:BQ25,BQ31:BQ35)</f>
        <v>30.241696319018406</v>
      </c>
      <c r="BR40" s="740">
        <f t="shared" si="100"/>
        <v>30.241696319018406</v>
      </c>
      <c r="BS40" s="740">
        <f t="shared" si="100"/>
        <v>15.055786766925763</v>
      </c>
      <c r="BT40" s="732"/>
      <c r="BU40" s="776">
        <f>MAX(BU11:BU15,BU21:BU25,BU31:BU35)</f>
        <v>0.28740787238517418</v>
      </c>
      <c r="BV40" s="740">
        <f>MAX(BV11:BV15,BV21:BV25,BV31:BV35)</f>
        <v>9.7026431718061676</v>
      </c>
      <c r="BW40" s="732"/>
      <c r="BX40" s="740">
        <f>MAX(BX11:BX15,BX21:BX25,BX31:BX35)</f>
        <v>41.578947368421055</v>
      </c>
      <c r="BY40" s="740">
        <f>MAX(BY11:BY15,BY21:BY25,BY31:BY35)</f>
        <v>1657.8</v>
      </c>
      <c r="BZ40" s="740">
        <f>MAX(BZ11:BZ15,BZ21:BZ25,BZ31:BZ35)</f>
        <v>22.960591133004929</v>
      </c>
      <c r="CA40" s="740">
        <f>MAX(CA11:CA15,CA21:CA25,CA31:CA35)</f>
        <v>20.901345291479821</v>
      </c>
      <c r="CB40" s="732"/>
      <c r="CC40" s="776">
        <f>MAX(CC11:CC15,CC21:CC25,CC31:CC35)</f>
        <v>0.63157894736842113</v>
      </c>
      <c r="CD40" s="776">
        <f>MAX(CD11:CD15,CD21:CD25,CD31:CD35)</f>
        <v>4.0549238360866768E-2</v>
      </c>
      <c r="CE40" s="776">
        <f>MAX(CE11:CE15,CE21:CE25,CE31:CE35)</f>
        <v>9.2070484581497802E-2</v>
      </c>
      <c r="CF40" s="702"/>
      <c r="CG40" s="702"/>
      <c r="CH40" s="702"/>
      <c r="CI40" s="702"/>
      <c r="CJ40" s="702"/>
      <c r="CK40" s="702"/>
      <c r="CL40" s="702"/>
      <c r="CM40" s="702"/>
      <c r="CN40" s="702"/>
      <c r="CO40" s="702"/>
      <c r="CP40" s="702"/>
      <c r="CQ40" s="702"/>
      <c r="CR40" s="743">
        <f t="shared" ref="CR40:CS40" si="101">MAX(CR11:CR15,CR21:CR25,CR31:CR35)</f>
        <v>1.89</v>
      </c>
      <c r="CS40" s="743">
        <f t="shared" si="101"/>
        <v>2.0299999999999998</v>
      </c>
      <c r="CT40" s="703"/>
    </row>
    <row r="41" spans="2:98">
      <c r="B41" s="57" t="s">
        <v>219</v>
      </c>
      <c r="AF41" s="758">
        <f>AVERAGE(AF11:AF15,AF21:AF25,AF31:AF35)</f>
        <v>0.54535923325715918</v>
      </c>
      <c r="AG41" s="758">
        <f>AVERAGE(AG11:AG15,AG21:AG25,AG31:AG35)</f>
        <v>0.16204699993660993</v>
      </c>
      <c r="AH41" s="758">
        <f>AVERAGE(AH11:AH15,AH21:AH25,AH31:AH35)</f>
        <v>0.11731953422542227</v>
      </c>
      <c r="AI41" s="758">
        <f>AVERAGE(AI11:AI15,AI21:AI25,AI31:AI35)</f>
        <v>7.8015194159123974E-2</v>
      </c>
      <c r="AJ41" s="21"/>
      <c r="AK41" s="758">
        <f t="shared" ref="AK41:AP41" si="102">AVERAGE(AK11:AK15,AK21:AK25,AK31:AK35)</f>
        <v>6.5062009570978532E-2</v>
      </c>
      <c r="AL41" s="758">
        <f t="shared" si="102"/>
        <v>4.9985383994671742E-2</v>
      </c>
      <c r="AM41" s="758">
        <f t="shared" si="102"/>
        <v>0.52422597084300937</v>
      </c>
      <c r="AN41" s="758">
        <f t="shared" si="102"/>
        <v>0.20770791087736779</v>
      </c>
      <c r="AO41" s="758">
        <f t="shared" si="102"/>
        <v>24.876461953766935</v>
      </c>
      <c r="AP41" s="758">
        <f t="shared" si="102"/>
        <v>0.55886395608433204</v>
      </c>
      <c r="AQ41" s="698"/>
      <c r="AR41" s="728">
        <f>AVERAGE(AR11:AR15,AR21:AR25,AR31:AR35)</f>
        <v>1.508</v>
      </c>
      <c r="AS41" s="698"/>
      <c r="AT41" s="758">
        <f>AVERAGE(AT11:AT15,AT21:AT25,AT31:AT35)</f>
        <v>6.6794333448157633E-2</v>
      </c>
      <c r="AU41" s="758">
        <f>AVERAGE(AU11:AU15,AU21:AU25,AU31:AU35)</f>
        <v>0.24097747399160654</v>
      </c>
      <c r="AV41" s="758">
        <f>AVERAGE(AV11:AV15,AV21:AV25,AV31:AV35)</f>
        <v>9.811095597081447E-2</v>
      </c>
      <c r="AW41" s="758">
        <f>AVERAGE(AW11:AW15,AW21:AW25,AW31:AW35)</f>
        <v>1.5127689428836622E-2</v>
      </c>
      <c r="AX41" s="599"/>
      <c r="AY41" s="758">
        <f>AVERAGE(AY11:AY15,AY21:AY25,AY31:AY35)</f>
        <v>0.37253290021471963</v>
      </c>
      <c r="AZ41" s="724">
        <f>AVERAGE(AZ11:AZ15,AZ21:AZ25,AZ31:AZ35)</f>
        <v>4.19316532343821</v>
      </c>
      <c r="BA41" s="724">
        <f>AVERAGE(BA11:BA15,BA21:BA25,BA31:BA35)</f>
        <v>3.047103231933916</v>
      </c>
      <c r="BB41" s="695"/>
      <c r="BC41" s="724">
        <f>AVERAGE(BC11:BC15,BC21:BC25,BC31:BC35)</f>
        <v>27.917769319951216</v>
      </c>
      <c r="BD41" s="724">
        <f>AVERAGE(BD11:BD15,BD21:BD25,BD31:BD35)</f>
        <v>4.1483431313305035</v>
      </c>
      <c r="BE41" s="724">
        <f>AVERAGE(BE11:BE15,BE21:BE25,BE31:BE35)</f>
        <v>20.985577047504513</v>
      </c>
      <c r="BF41" s="698"/>
      <c r="BG41" s="698"/>
      <c r="BH41" s="698"/>
      <c r="BI41" s="698"/>
      <c r="BJ41" s="741">
        <f t="shared" ref="BJ41:BS41" si="103">AVERAGE(BJ11:BJ15,BJ21:BJ25,BJ31:BJ35)</f>
        <v>1.4161995534854595</v>
      </c>
      <c r="BK41" s="741">
        <f t="shared" si="103"/>
        <v>1.3360824803227429</v>
      </c>
      <c r="BL41" s="741">
        <f t="shared" si="103"/>
        <v>1.2682480991745537</v>
      </c>
      <c r="BM41" s="733"/>
      <c r="BN41" s="741">
        <f t="shared" si="103"/>
        <v>9.0835604032616182</v>
      </c>
      <c r="BO41" s="741">
        <f t="shared" si="103"/>
        <v>7.2666347041742849</v>
      </c>
      <c r="BP41" s="741">
        <f t="shared" si="103"/>
        <v>6.7296640856487615</v>
      </c>
      <c r="BQ41" s="741">
        <f>AVERAGE(BQ11:BQ15,BQ21:BQ25,BQ31:BQ35)</f>
        <v>13.822840556158051</v>
      </c>
      <c r="BR41" s="741">
        <f t="shared" si="103"/>
        <v>14.643867281712327</v>
      </c>
      <c r="BS41" s="741">
        <f t="shared" si="103"/>
        <v>9.5284602742957958</v>
      </c>
      <c r="BT41" s="734"/>
      <c r="BU41" s="777">
        <f>AVERAGE(BU11:BU15,BU21:BU25,BU31:BU35)</f>
        <v>0.16204699993660993</v>
      </c>
      <c r="BV41" s="741">
        <f>AVERAGE(BV11:BV15,BV21:BV25,BV31:BV35)</f>
        <v>4.19316532343821</v>
      </c>
      <c r="BW41" s="734"/>
      <c r="BX41" s="741">
        <f>AVERAGE(BX11:BX15,BX21:BX25,BX31:BX35)</f>
        <v>18.938258700430342</v>
      </c>
      <c r="BY41" s="741">
        <f>AVERAGE(BY11:BY15,BY21:BY25,BY31:BY35)</f>
        <v>348.93906595892315</v>
      </c>
      <c r="BZ41" s="741">
        <f>AVERAGE(BZ11:BZ15,BZ21:BZ25,BZ31:BZ35)</f>
        <v>12.012925637811096</v>
      </c>
      <c r="CA41" s="741">
        <f>AVERAGE(CA11:CA15,CA21:CA25,CA31:CA35)</f>
        <v>11.038151183934593</v>
      </c>
      <c r="CB41" s="734"/>
      <c r="CC41" s="777">
        <f>AVERAGE(CC11:CC15,CC21:CC25,CC31:CC35)</f>
        <v>-0.25571320535518077</v>
      </c>
      <c r="CD41" s="777">
        <f>AVERAGE(CD11:CD15,CD21:CD25,CD31:CD35)</f>
        <v>1.3846357151998339E-2</v>
      </c>
      <c r="CE41" s="777">
        <f>AVERAGE(CE11:CE15,CE21:CE25,CE31:CE35)</f>
        <v>3.8893936479806948E-2</v>
      </c>
      <c r="CF41" s="698"/>
      <c r="CG41" s="698"/>
      <c r="CH41" s="698"/>
      <c r="CI41" s="698"/>
      <c r="CJ41" s="698"/>
      <c r="CK41" s="698"/>
      <c r="CL41" s="698"/>
      <c r="CM41" s="698"/>
      <c r="CN41" s="698"/>
      <c r="CO41" s="698"/>
      <c r="CP41" s="698"/>
      <c r="CQ41" s="698"/>
      <c r="CR41" s="744">
        <f t="shared" ref="CR41:CS41" si="104">AVERAGE(CR11:CR15,CR21:CR25,CR31:CR35)</f>
        <v>1.24</v>
      </c>
      <c r="CS41" s="744">
        <f t="shared" si="104"/>
        <v>1.345</v>
      </c>
      <c r="CT41" s="704"/>
    </row>
    <row r="42" spans="2:98">
      <c r="B42" s="57" t="s">
        <v>170</v>
      </c>
      <c r="AF42" s="758">
        <f>MEDIAN(AF11:AF15,AF21:AF25,AF31:AF35)</f>
        <v>0.57836662082800794</v>
      </c>
      <c r="AG42" s="758">
        <f>MEDIAN(AG11:AG15,AG21:AG25,AG31:AG35)</f>
        <v>0.12149500363691552</v>
      </c>
      <c r="AH42" s="758">
        <f>MEDIAN(AH11:AH15,AH21:AH25,AH31:AH35)</f>
        <v>8.1134826991913031E-2</v>
      </c>
      <c r="AI42" s="758">
        <f>MEDIAN(AI11:AI15,AI21:AI25,AI31:AI35)</f>
        <v>4.2819359125511526E-2</v>
      </c>
      <c r="AJ42" s="21"/>
      <c r="AK42" s="758">
        <f t="shared" ref="AK42:AP42" si="105">MEDIAN(AK11:AK15,AK21:AK25,AK31:AK35)</f>
        <v>5.4477084161250258E-2</v>
      </c>
      <c r="AL42" s="758">
        <f t="shared" si="105"/>
        <v>1.4450483892350523E-2</v>
      </c>
      <c r="AM42" s="758">
        <f t="shared" si="105"/>
        <v>0.24466793287044244</v>
      </c>
      <c r="AN42" s="758">
        <f t="shared" si="105"/>
        <v>3.3584749491245916E-2</v>
      </c>
      <c r="AO42" s="758">
        <f t="shared" si="105"/>
        <v>0.4098360655737705</v>
      </c>
      <c r="AP42" s="758">
        <f t="shared" si="105"/>
        <v>0.10928961748633864</v>
      </c>
      <c r="AQ42" s="698"/>
      <c r="AR42" s="728">
        <f>MEDIAN(AR11:AR15,AR21:AR25,AR31:AR35)</f>
        <v>1.46</v>
      </c>
      <c r="AS42" s="698"/>
      <c r="AT42" s="758">
        <f>MEDIAN(AT11:AT15,AT21:AT25,AT31:AT35)</f>
        <v>4.3009381380646687E-2</v>
      </c>
      <c r="AU42" s="758">
        <f>MEDIAN(AU11:AU15,AU21:AU25,AU31:AU35)</f>
        <v>0.15379901960784315</v>
      </c>
      <c r="AV42" s="758">
        <f>MEDIAN(AV11:AV15,AV21:AV25,AV31:AV35)</f>
        <v>6.5024147610295818E-2</v>
      </c>
      <c r="AW42" s="758">
        <f>MEDIAN(AW11:AW15,AW21:AW25,AW31:AW35)</f>
        <v>0</v>
      </c>
      <c r="AX42" s="599"/>
      <c r="AY42" s="758">
        <f>MEDIAN(AY11:AY15,AY21:AY25,AY31:AY35)</f>
        <v>0.39282520145539052</v>
      </c>
      <c r="AZ42" s="724">
        <f>MEDIAN(AZ11:AZ15,AZ21:AZ25,AZ31:AZ35)</f>
        <v>2.7743289830278672</v>
      </c>
      <c r="BA42" s="724">
        <f>MEDIAN(BA11:BA15,BA21:BA25,BA31:BA35)</f>
        <v>2.0825649080098532</v>
      </c>
      <c r="BB42" s="695"/>
      <c r="BC42" s="724">
        <f>MEDIAN(BC11:BC15,BC21:BC25,BC31:BC35)</f>
        <v>25.670948776912681</v>
      </c>
      <c r="BD42" s="724">
        <f>MEDIAN(BD11:BD15,BD21:BD25,BD31:BD35)</f>
        <v>3.918181818181818</v>
      </c>
      <c r="BE42" s="724">
        <f>MEDIAN(BE11:BE15,BE21:BE25,BE31:BE35)</f>
        <v>18.291330605385657</v>
      </c>
      <c r="BF42" s="698"/>
      <c r="BG42" s="698"/>
      <c r="BH42" s="698"/>
      <c r="BI42" s="698"/>
      <c r="BJ42" s="741">
        <f t="shared" ref="BJ42:BS42" si="106">MEDIAN(BJ11:BJ15,BJ21:BJ25,BJ31:BJ35)</f>
        <v>1.0938058982595962</v>
      </c>
      <c r="BK42" s="741">
        <f t="shared" si="106"/>
        <v>0.92529414831279055</v>
      </c>
      <c r="BL42" s="741">
        <f t="shared" si="106"/>
        <v>0.88351934015049205</v>
      </c>
      <c r="BM42" s="733"/>
      <c r="BN42" s="741">
        <f t="shared" si="106"/>
        <v>6.2737122969837591</v>
      </c>
      <c r="BO42" s="741">
        <f t="shared" si="106"/>
        <v>6.2956228172293365</v>
      </c>
      <c r="BP42" s="741">
        <f t="shared" si="106"/>
        <v>5.8686272381985889</v>
      </c>
      <c r="BQ42" s="741">
        <f>MEDIAN(BQ11:BQ15,BQ21:BQ25,BQ31:BQ35)</f>
        <v>8.8365032679738569</v>
      </c>
      <c r="BR42" s="741">
        <f t="shared" si="106"/>
        <v>8.897837058511497</v>
      </c>
      <c r="BS42" s="741">
        <f t="shared" si="106"/>
        <v>8.4810501017634294</v>
      </c>
      <c r="BT42" s="734"/>
      <c r="BU42" s="777">
        <f>MEDIAN(BU11:BU15,BU21:BU25,BU31:BU35)</f>
        <v>0.12149500363691552</v>
      </c>
      <c r="BV42" s="741">
        <f>MEDIAN(BV11:BV15,BV21:BV25,BV31:BV35)</f>
        <v>2.7743289830278672</v>
      </c>
      <c r="BW42" s="734"/>
      <c r="BX42" s="741">
        <f>MEDIAN(BX11:BX15,BX21:BX25,BX31:BX35)</f>
        <v>10.085470085470087</v>
      </c>
      <c r="BY42" s="741">
        <f>MEDIAN(BY11:BY15,BY21:BY25,BY31:BY35)</f>
        <v>25.483870967741936</v>
      </c>
      <c r="BZ42" s="741">
        <f>MEDIAN(BZ11:BZ15,BZ21:BZ25,BZ31:BZ35)</f>
        <v>8.7905982905982913</v>
      </c>
      <c r="CA42" s="741">
        <f>MEDIAN(CA11:CA15,CA21:CA25,CA31:CA35)</f>
        <v>8.03515625</v>
      </c>
      <c r="CB42" s="734"/>
      <c r="CC42" s="777">
        <f>MEDIAN(CC11:CC15,CC21:CC25,CC31:CC35)</f>
        <v>-0.38181818181818183</v>
      </c>
      <c r="CD42" s="777">
        <f>MEDIAN(CD11:CD15,CD21:CD25,CD31:CD35)</f>
        <v>0</v>
      </c>
      <c r="CE42" s="777">
        <f>MEDIAN(CE11:CE15,CE21:CE25,CE31:CE35)</f>
        <v>3.1720045879058155E-2</v>
      </c>
      <c r="CF42" s="698"/>
      <c r="CG42" s="698"/>
      <c r="CH42" s="698"/>
      <c r="CI42" s="698"/>
      <c r="CJ42" s="698"/>
      <c r="CK42" s="698"/>
      <c r="CL42" s="698"/>
      <c r="CM42" s="698"/>
      <c r="CN42" s="698"/>
      <c r="CO42" s="698"/>
      <c r="CP42" s="698"/>
      <c r="CQ42" s="698"/>
      <c r="CR42" s="744">
        <f t="shared" ref="CR42:CS42" si="107">MEDIAN(CR11:CR15,CR21:CR25,CR31:CR35)</f>
        <v>1.2399999999999998</v>
      </c>
      <c r="CS42" s="744">
        <f t="shared" si="107"/>
        <v>1.3449999999999998</v>
      </c>
      <c r="CT42" s="704"/>
    </row>
    <row r="43" spans="2:98">
      <c r="B43" s="54" t="s">
        <v>69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759">
        <f>MIN(AF11:AF15,AF21:AF25,AF31:AF35)</f>
        <v>0.38948218836816317</v>
      </c>
      <c r="AG43" s="759">
        <f>MIN(AG11:AG15,AG21:AG25,AG31:AG35)</f>
        <v>7.1661957602639187E-2</v>
      </c>
      <c r="AH43" s="759">
        <f>MIN(AH11:AH15,AH21:AH25,AH31:AH35)</f>
        <v>4.1166164191119597E-2</v>
      </c>
      <c r="AI43" s="759">
        <f>MIN(AI11:AI15,AI21:AI25,AI31:AI35)</f>
        <v>3.3242308967215445E-2</v>
      </c>
      <c r="AJ43" s="760"/>
      <c r="AK43" s="759">
        <f t="shared" ref="AK43:AP43" si="108">MIN(AK11:AK15,AK21:AK25,AK31:AK35)</f>
        <v>1.3231244542951172E-2</v>
      </c>
      <c r="AL43" s="759">
        <f t="shared" si="108"/>
        <v>-1.3683316274687994E-2</v>
      </c>
      <c r="AM43" s="759">
        <f t="shared" si="108"/>
        <v>-4.7419219471254721E-2</v>
      </c>
      <c r="AN43" s="759">
        <f t="shared" si="108"/>
        <v>-7.9301270528116963E-3</v>
      </c>
      <c r="AO43" s="759">
        <f t="shared" si="108"/>
        <v>-0.16129032258064513</v>
      </c>
      <c r="AP43" s="759">
        <f t="shared" si="108"/>
        <v>5.8415841584158405E-2</v>
      </c>
      <c r="AQ43" s="699"/>
      <c r="AR43" s="729">
        <f>MIN(AR11:AR15,AR21:AR25,AR31:AR35)</f>
        <v>1.08</v>
      </c>
      <c r="AS43" s="699"/>
      <c r="AT43" s="759">
        <f>MIN(AT11:AT15,AT21:AT25,AT31:AT35)</f>
        <v>2.3412643198367424E-2</v>
      </c>
      <c r="AU43" s="759">
        <f>MIN(AU11:AU15,AU21:AU25,AU31:AU35)</f>
        <v>0.10687642730271504</v>
      </c>
      <c r="AV43" s="759">
        <f>MIN(AV11:AV15,AV21:AV25,AV31:AV35)</f>
        <v>3.303270331738687E-2</v>
      </c>
      <c r="AW43" s="759">
        <f>MIN(AW11:AW15,AW21:AW25,AW31:AW35)</f>
        <v>0</v>
      </c>
      <c r="AX43" s="708"/>
      <c r="AY43" s="759">
        <f>MIN(AY11:AY15,AY21:AY25,AY31:AY35)</f>
        <v>0.30225469253761439</v>
      </c>
      <c r="AZ43" s="725">
        <f>MIN(AZ11:AZ15,AZ21:AZ25,AZ31:AZ35)</f>
        <v>1.3543749248521022</v>
      </c>
      <c r="BA43" s="725">
        <f>MIN(BA11:BA15,BA21:BA25,BA31:BA35)</f>
        <v>0.31844956883682535</v>
      </c>
      <c r="BB43" s="696"/>
      <c r="BC43" s="725">
        <f>MIN(BC11:BC15,BC21:BC25,BC31:BC35)</f>
        <v>10.861244019138756</v>
      </c>
      <c r="BD43" s="725">
        <f>MIN(BD11:BD15,BD21:BD25,BD31:BD35)</f>
        <v>1.7334860633829705</v>
      </c>
      <c r="BE43" s="725">
        <f>MIN(BE11:BE15,BE21:BE25,BE31:BE35)</f>
        <v>6.2392344497607652</v>
      </c>
      <c r="BF43" s="699"/>
      <c r="BG43" s="699"/>
      <c r="BH43" s="699"/>
      <c r="BI43" s="699"/>
      <c r="BJ43" s="739">
        <f t="shared" ref="BJ43:BS43" si="109">MIN(BJ11:BJ15,BJ21:BJ25,BJ31:BJ35)</f>
        <v>0.56572500476593257</v>
      </c>
      <c r="BK43" s="739">
        <f t="shared" si="109"/>
        <v>0.57357339088009007</v>
      </c>
      <c r="BL43" s="739">
        <f t="shared" si="109"/>
        <v>0.58287044241037378</v>
      </c>
      <c r="BM43" s="735">
        <f t="shared" si="109"/>
        <v>0</v>
      </c>
      <c r="BN43" s="739">
        <f t="shared" si="109"/>
        <v>4.6563643592833346</v>
      </c>
      <c r="BO43" s="739">
        <f t="shared" si="109"/>
        <v>4.3928896234550159</v>
      </c>
      <c r="BP43" s="739">
        <f t="shared" si="109"/>
        <v>3.9633980809128633</v>
      </c>
      <c r="BQ43" s="739">
        <f>MIN(BQ11:BQ15,BQ21:BQ25,BQ31:BQ35)</f>
        <v>6.1090961653397091</v>
      </c>
      <c r="BR43" s="739">
        <f t="shared" si="109"/>
        <v>8.3876837206239099</v>
      </c>
      <c r="BS43" s="739">
        <f t="shared" si="109"/>
        <v>6.0959541267305646</v>
      </c>
      <c r="BT43" s="736"/>
      <c r="BU43" s="778">
        <f>MIN(BU11:BU15,BU21:BU25,BU31:BU35)</f>
        <v>7.1661957602639187E-2</v>
      </c>
      <c r="BV43" s="739">
        <f>MIN(BV11:BV15,BV21:BV25,BV31:BV35)</f>
        <v>1.3543749248521022</v>
      </c>
      <c r="BW43" s="736"/>
      <c r="BX43" s="739">
        <f>MIN(BX11:BX15,BX21:BX25,BX31:BX35)</f>
        <v>8.2069306930693067</v>
      </c>
      <c r="BY43" s="739">
        <f>MIN(BY11:BY15,BY21:BY25,BY31:BY35)</f>
        <v>15.125</v>
      </c>
      <c r="BZ43" s="739">
        <f>MIN(BZ11:BZ15,BZ21:BZ25,BZ31:BZ35)</f>
        <v>7.7539756782039291</v>
      </c>
      <c r="CA43" s="739">
        <f>MIN(CA11:CA15,CA21:CA25,CA31:CA35)</f>
        <v>7.515923566878981</v>
      </c>
      <c r="CB43" s="736"/>
      <c r="CC43" s="778">
        <f>MIN(CC11:CC15,CC21:CC25,CC31:CC35)</f>
        <v>-0.99504950495049505</v>
      </c>
      <c r="CD43" s="778">
        <f>MIN(CD11:CD15,CD21:CD25,CD31:CD35)</f>
        <v>0</v>
      </c>
      <c r="CE43" s="778">
        <f>MIN(CE11:CE15,CE21:CE25,CE31:CE35)</f>
        <v>0</v>
      </c>
      <c r="CF43" s="705">
        <f t="shared" ref="CF43:CS43" si="110">MIN(CF11:CF15,CF21:CF25,CF31:CF35)</f>
        <v>0</v>
      </c>
      <c r="CG43" s="705"/>
      <c r="CH43" s="705"/>
      <c r="CI43" s="705"/>
      <c r="CJ43" s="705"/>
      <c r="CK43" s="705"/>
      <c r="CL43" s="705"/>
      <c r="CM43" s="705"/>
      <c r="CN43" s="705"/>
      <c r="CO43" s="705"/>
      <c r="CP43" s="705"/>
      <c r="CQ43" s="705"/>
      <c r="CR43" s="745">
        <f t="shared" si="110"/>
        <v>0.59</v>
      </c>
      <c r="CS43" s="745">
        <f t="shared" si="110"/>
        <v>0.66</v>
      </c>
      <c r="CT43" s="706"/>
    </row>
    <row r="254" spans="2:6">
      <c r="B254" t="s">
        <v>151</v>
      </c>
      <c r="C254" s="41">
        <f>35947*1.11</f>
        <v>39901.170000000006</v>
      </c>
      <c r="D254" s="41"/>
      <c r="E254" s="41"/>
      <c r="F254" s="21">
        <f>C254/140000</f>
        <v>0.28500835714285716</v>
      </c>
    </row>
    <row r="255" spans="2:6">
      <c r="B255" t="s">
        <v>152</v>
      </c>
      <c r="C255" s="41">
        <v>21010</v>
      </c>
      <c r="D255" s="41"/>
      <c r="E255" s="41"/>
      <c r="F255" s="21">
        <f t="shared" ref="F255:F259" si="111">C255/140000</f>
        <v>0.15007142857142858</v>
      </c>
    </row>
    <row r="256" spans="2:6">
      <c r="B256" t="s">
        <v>153</v>
      </c>
      <c r="C256" s="41">
        <v>5414</v>
      </c>
      <c r="D256" s="41"/>
      <c r="E256" s="41"/>
      <c r="F256" s="21">
        <f t="shared" si="111"/>
        <v>3.8671428571428572E-2</v>
      </c>
    </row>
    <row r="257" spans="2:6">
      <c r="B257" t="s">
        <v>154</v>
      </c>
      <c r="C257" s="41">
        <v>4664</v>
      </c>
      <c r="D257" s="41"/>
      <c r="E257" s="41"/>
      <c r="F257" s="21">
        <f t="shared" si="111"/>
        <v>3.3314285714285713E-2</v>
      </c>
    </row>
    <row r="258" spans="2:6">
      <c r="B258" t="s">
        <v>0</v>
      </c>
      <c r="C258" s="41">
        <v>5153</v>
      </c>
      <c r="D258" s="41"/>
      <c r="E258" s="41"/>
      <c r="F258" s="21">
        <f t="shared" si="111"/>
        <v>3.6807142857142858E-2</v>
      </c>
    </row>
    <row r="259" spans="2:6">
      <c r="B259" t="s">
        <v>192</v>
      </c>
      <c r="C259" s="41">
        <f>140000-C260</f>
        <v>63858</v>
      </c>
      <c r="D259" s="41"/>
      <c r="E259" s="41"/>
      <c r="F259" s="21">
        <f t="shared" si="111"/>
        <v>0.45612857142857144</v>
      </c>
    </row>
    <row r="260" spans="2:6">
      <c r="B260" t="s">
        <v>191</v>
      </c>
      <c r="C260" s="36">
        <v>76142</v>
      </c>
      <c r="D260" s="36"/>
      <c r="E260" s="36"/>
    </row>
  </sheetData>
  <mergeCells count="16">
    <mergeCell ref="CO5:CP5"/>
    <mergeCell ref="CR5:CT5"/>
    <mergeCell ref="CG5:CM5"/>
    <mergeCell ref="F5:G5"/>
    <mergeCell ref="AF5:AI5"/>
    <mergeCell ref="AK5:AP5"/>
    <mergeCell ref="AT5:AW5"/>
    <mergeCell ref="BJ5:BS5"/>
    <mergeCell ref="BX5:CA5"/>
    <mergeCell ref="I5:Y5"/>
    <mergeCell ref="AK6:AL6"/>
    <mergeCell ref="AM6:AN6"/>
    <mergeCell ref="AY5:BA5"/>
    <mergeCell ref="BC5:BE5"/>
    <mergeCell ref="BG5:BH5"/>
    <mergeCell ref="AO6:AP6"/>
  </mergeCells>
  <pageMargins left="0.7" right="0.7" top="0.75" bottom="0.75" header="0.3" footer="0.3"/>
  <ignoredErrors>
    <ignoredError sqref="BO14:BP14 BS13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EB5B7-310A-9849-93B7-9BE3333E9164}">
  <dimension ref="B1:J13"/>
  <sheetViews>
    <sheetView showGridLines="0" zoomScale="150" workbookViewId="0">
      <selection activeCell="I12" sqref="I12"/>
    </sheetView>
  </sheetViews>
  <sheetFormatPr baseColWidth="10" defaultRowHeight="16"/>
  <cols>
    <col min="1" max="1" width="1.83203125" style="27" customWidth="1"/>
    <col min="2" max="2" width="12.6640625" style="27" customWidth="1"/>
    <col min="3" max="3" width="19.1640625" style="27" bestFit="1" customWidth="1"/>
    <col min="4" max="4" width="13.33203125" style="27" bestFit="1" customWidth="1"/>
    <col min="5" max="6" width="12.1640625" style="27" bestFit="1" customWidth="1"/>
    <col min="7" max="16384" width="10.83203125" style="27"/>
  </cols>
  <sheetData>
    <row r="1" spans="2:10" ht="29">
      <c r="B1" s="790" t="str">
        <f>IS!F8</f>
        <v>Urban Outfitters Inc.</v>
      </c>
      <c r="C1" s="791"/>
      <c r="D1" s="791"/>
      <c r="E1" s="791"/>
      <c r="F1" s="791"/>
      <c r="G1" s="791"/>
      <c r="H1" s="791"/>
      <c r="I1" s="791"/>
      <c r="J1" s="791"/>
    </row>
    <row r="2" spans="2:10" ht="24">
      <c r="B2" s="792" t="s">
        <v>3672</v>
      </c>
      <c r="C2" s="791"/>
      <c r="D2" s="791"/>
      <c r="E2" s="791"/>
      <c r="F2" s="791"/>
      <c r="G2" s="791"/>
      <c r="H2" s="791"/>
      <c r="I2" s="791"/>
      <c r="J2" s="791"/>
    </row>
    <row r="3" spans="2:10">
      <c r="B3" s="793" t="s">
        <v>460</v>
      </c>
      <c r="C3" s="794"/>
      <c r="D3" s="794"/>
      <c r="E3" s="794"/>
      <c r="F3" s="794"/>
      <c r="G3" s="794"/>
      <c r="H3" s="794"/>
      <c r="I3" s="794"/>
      <c r="J3" s="794"/>
    </row>
    <row r="5" spans="2:10">
      <c r="B5" s="795"/>
      <c r="C5" s="795"/>
      <c r="D5" s="795" t="s">
        <v>69</v>
      </c>
      <c r="E5" s="796" t="s">
        <v>3671</v>
      </c>
      <c r="F5" s="796" t="s">
        <v>68</v>
      </c>
      <c r="G5" s="803"/>
    </row>
    <row r="6" spans="2:10">
      <c r="B6" s="797" t="s">
        <v>159</v>
      </c>
      <c r="C6" s="797" t="s">
        <v>3674</v>
      </c>
      <c r="D6" s="798">
        <f>(IS!F24*IS!R36/1000+IS!F30+IS!F33)/1000</f>
        <v>4711.6308010000002</v>
      </c>
      <c r="E6" s="799">
        <f>F6-D6</f>
        <v>2562.3193049999991</v>
      </c>
      <c r="F6" s="799">
        <f>(IS!F23*IS!R36/1000+IS!F30+IS!F33)/1000</f>
        <v>7273.9501059999993</v>
      </c>
    </row>
    <row r="7" spans="2:10">
      <c r="B7" s="797" t="s">
        <v>3664</v>
      </c>
      <c r="C7" s="797"/>
      <c r="D7" s="800">
        <f>IS!AB58/1000</f>
        <v>5145.2441606889643</v>
      </c>
      <c r="E7" s="799">
        <f t="shared" ref="E7:E13" si="0">F7-D7</f>
        <v>1718.1318191304836</v>
      </c>
      <c r="F7" s="799">
        <f>IS!AF54/1000</f>
        <v>6863.3759798194478</v>
      </c>
    </row>
    <row r="8" spans="2:10">
      <c r="B8" s="801" t="s">
        <v>3666</v>
      </c>
      <c r="C8" s="801"/>
      <c r="D8" s="798">
        <f>IS!R11*Comparables!BJ43/1000</f>
        <v>2960.9582854945002</v>
      </c>
      <c r="E8" s="799">
        <f t="shared" si="0"/>
        <v>15146.221021967314</v>
      </c>
      <c r="F8" s="799">
        <f>IS!R11*Comparables!BJ40/1000</f>
        <v>18107.179307461814</v>
      </c>
    </row>
    <row r="9" spans="2:10">
      <c r="B9" s="802" t="s">
        <v>3665</v>
      </c>
      <c r="C9" s="802"/>
      <c r="D9" s="799">
        <f>IS!R11*Comparables!BK43/1000</f>
        <v>3002.0360948483394</v>
      </c>
      <c r="E9" s="799">
        <f t="shared" si="0"/>
        <v>13856.979802395737</v>
      </c>
      <c r="F9" s="799">
        <f>IS!R11*Comparables!BK40/1000</f>
        <v>16859.015897244077</v>
      </c>
    </row>
    <row r="10" spans="2:10">
      <c r="B10" s="802" t="s">
        <v>3669</v>
      </c>
      <c r="C10" s="802"/>
      <c r="D10" s="799">
        <f>IS!R20*Comparables!BN43/1000</f>
        <v>2328.4755305963022</v>
      </c>
      <c r="E10" s="799">
        <f t="shared" si="0"/>
        <v>6358.780159199292</v>
      </c>
      <c r="F10" s="799">
        <f>IS!R20*Comparables!BN40/1000</f>
        <v>8687.2556897955947</v>
      </c>
    </row>
    <row r="11" spans="2:10">
      <c r="B11" s="802" t="s">
        <v>3670</v>
      </c>
      <c r="C11" s="802"/>
      <c r="D11" s="799">
        <f>IS!R20*Comparables!BO43/1000</f>
        <v>2196.7215637737859</v>
      </c>
      <c r="E11" s="799">
        <f t="shared" si="0"/>
        <v>3627.0436443828171</v>
      </c>
      <c r="F11" s="799">
        <f>IS!R20*Comparables!BO40/1000</f>
        <v>5823.765208156603</v>
      </c>
    </row>
    <row r="12" spans="2:10">
      <c r="B12" s="802" t="s">
        <v>3667</v>
      </c>
      <c r="C12" s="802"/>
      <c r="D12" s="799">
        <f>IS!R23*Comparables!BQ43/1000</f>
        <v>2418.6644810119751</v>
      </c>
      <c r="E12" s="799">
        <f t="shared" si="0"/>
        <v>9554.3859920432405</v>
      </c>
      <c r="F12" s="799">
        <f>IS!R23*Comparables!BQ40/1000</f>
        <v>11973.050473055215</v>
      </c>
    </row>
    <row r="13" spans="2:10">
      <c r="B13" s="802" t="s">
        <v>3668</v>
      </c>
      <c r="C13" s="802"/>
      <c r="D13" s="799">
        <f>IS!R23*Comparables!BR43/1000</f>
        <v>3320.7846371996534</v>
      </c>
      <c r="E13" s="799">
        <f t="shared" si="0"/>
        <v>8652.2658358555618</v>
      </c>
      <c r="F13" s="799">
        <f>IS!R23*Comparables!BR40/1000</f>
        <v>11973.050473055215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0DCFE-7352-0942-A618-6E9852BDA42B}">
  <sheetPr codeName="Sheet9"/>
  <dimension ref="B3:O57"/>
  <sheetViews>
    <sheetView showGridLines="0" zoomScale="111" workbookViewId="0">
      <selection activeCell="C34" sqref="C34"/>
    </sheetView>
  </sheetViews>
  <sheetFormatPr baseColWidth="10" defaultRowHeight="16"/>
  <cols>
    <col min="1" max="5" width="10.83203125" style="159"/>
    <col min="6" max="15" width="13.5" style="159" customWidth="1"/>
    <col min="16" max="16384" width="10.83203125" style="159"/>
  </cols>
  <sheetData>
    <row r="3" spans="2:15">
      <c r="B3" s="113" t="s">
        <v>244</v>
      </c>
      <c r="C3" s="113"/>
      <c r="D3" s="113"/>
      <c r="E3" s="114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5">
      <c r="B4" s="168"/>
      <c r="C4" s="168"/>
      <c r="D4" s="168"/>
      <c r="E4" s="169"/>
      <c r="F4" s="866" t="s">
        <v>245</v>
      </c>
      <c r="G4" s="866"/>
      <c r="H4" s="866"/>
      <c r="I4" s="866"/>
      <c r="J4" s="866"/>
      <c r="K4" s="866"/>
      <c r="L4" s="866"/>
      <c r="M4" s="866"/>
      <c r="N4" s="866"/>
      <c r="O4" s="866"/>
    </row>
    <row r="5" spans="2:15">
      <c r="B5" s="60"/>
      <c r="C5" s="168"/>
      <c r="D5" s="168"/>
      <c r="E5" s="169"/>
      <c r="F5" s="61">
        <v>1</v>
      </c>
      <c r="G5" s="61">
        <v>2</v>
      </c>
      <c r="H5" s="61">
        <v>3</v>
      </c>
      <c r="I5" s="61">
        <v>4</v>
      </c>
      <c r="J5" s="61">
        <v>5</v>
      </c>
      <c r="K5" s="61">
        <v>6</v>
      </c>
      <c r="L5" s="61">
        <v>7</v>
      </c>
      <c r="M5" s="61">
        <v>8</v>
      </c>
      <c r="N5" s="61">
        <v>9</v>
      </c>
      <c r="O5" s="61">
        <v>10</v>
      </c>
    </row>
    <row r="6" spans="2:15">
      <c r="B6" s="60"/>
      <c r="C6" s="168"/>
      <c r="D6" s="168"/>
      <c r="E6" s="169"/>
      <c r="F6" s="62">
        <v>0.10000000000000009</v>
      </c>
      <c r="G6" s="62">
        <v>8.0000000000000071E-2</v>
      </c>
      <c r="H6" s="62">
        <v>6.0000000000000053E-2</v>
      </c>
      <c r="I6" s="62">
        <v>4.0000000000000036E-2</v>
      </c>
      <c r="J6" s="62">
        <v>3.0000000000000027E-2</v>
      </c>
      <c r="K6" s="62">
        <f>+J6+1</f>
        <v>1.03</v>
      </c>
      <c r="L6" s="62">
        <f>+K6+1</f>
        <v>2.0300000000000002</v>
      </c>
      <c r="M6" s="62">
        <f>+L6+1</f>
        <v>3.0300000000000002</v>
      </c>
      <c r="N6" s="62">
        <f>+M6+1</f>
        <v>4.03</v>
      </c>
      <c r="O6" s="62">
        <f>+N6+1</f>
        <v>5.03</v>
      </c>
    </row>
    <row r="7" spans="2:15">
      <c r="B7" s="60"/>
      <c r="C7" s="168"/>
      <c r="D7" s="168"/>
      <c r="E7" s="169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2:15">
      <c r="B8" s="64" t="s">
        <v>246</v>
      </c>
      <c r="C8" s="170"/>
      <c r="D8" s="170"/>
      <c r="E8" s="171"/>
      <c r="F8" s="172"/>
      <c r="G8" s="115"/>
      <c r="H8" s="115"/>
      <c r="I8" s="115"/>
      <c r="J8" s="115"/>
      <c r="K8" s="172"/>
      <c r="L8" s="172"/>
      <c r="M8" s="172"/>
      <c r="N8" s="172"/>
      <c r="O8" s="172"/>
    </row>
    <row r="9" spans="2:15">
      <c r="B9" s="60" t="s">
        <v>247</v>
      </c>
      <c r="C9" s="168"/>
      <c r="D9" s="168"/>
      <c r="E9" s="169"/>
      <c r="F9" s="65">
        <f>CHOOSE(IS!$C$4,F10,F11,F12,F13,F14)</f>
        <v>6.8000000000000005E-2</v>
      </c>
      <c r="G9" s="65">
        <f>CHOOSE(IS!$C$4,G10,G11,G12,G13,G14)</f>
        <v>6.4000000000000001E-2</v>
      </c>
      <c r="H9" s="65">
        <f>CHOOSE(IS!$C$4,H10,H11,H12,H13,H14)</f>
        <v>0.06</v>
      </c>
      <c r="I9" s="65">
        <f>CHOOSE(IS!$C$4,I10,I11,I12,I13,I14)</f>
        <v>5.8000000000000003E-2</v>
      </c>
      <c r="J9" s="65">
        <f>CHOOSE(IS!$C$4,J10,J11,J12,J13,J14)</f>
        <v>5.3999999999999999E-2</v>
      </c>
      <c r="K9" s="65">
        <f>CHOOSE(IS!$C$4,K10,K11,K12,K13,K14)</f>
        <v>5.3999999999999999E-2</v>
      </c>
      <c r="L9" s="65">
        <f>CHOOSE(IS!$C$4,L10,L11,L12,L13,L14)</f>
        <v>5.3999999999999999E-2</v>
      </c>
      <c r="M9" s="65">
        <f>CHOOSE(IS!$C$4,M10,M11,M12,M13,M14)</f>
        <v>5.3999999999999999E-2</v>
      </c>
      <c r="N9" s="65">
        <f>CHOOSE(IS!$C$4,N10,N11,N12,N13,N14)</f>
        <v>5.3999999999999999E-2</v>
      </c>
      <c r="O9" s="65">
        <f>CHOOSE(IS!$C$4,O10,O11,O12,O13,O14)</f>
        <v>5.3999999999999999E-2</v>
      </c>
    </row>
    <row r="10" spans="2:15">
      <c r="B10" s="60" t="s">
        <v>248</v>
      </c>
      <c r="C10" s="168"/>
      <c r="D10" s="168"/>
      <c r="E10" s="169">
        <v>1</v>
      </c>
      <c r="F10" s="66">
        <v>6.8000000000000005E-2</v>
      </c>
      <c r="G10" s="67">
        <v>6.4000000000000001E-2</v>
      </c>
      <c r="H10" s="67">
        <v>0.06</v>
      </c>
      <c r="I10" s="67">
        <v>5.8000000000000003E-2</v>
      </c>
      <c r="J10" s="67">
        <v>5.3999999999999999E-2</v>
      </c>
      <c r="K10" s="68">
        <f t="shared" ref="K10:O14" si="0">+J10</f>
        <v>5.3999999999999999E-2</v>
      </c>
      <c r="L10" s="68">
        <f t="shared" si="0"/>
        <v>5.3999999999999999E-2</v>
      </c>
      <c r="M10" s="68">
        <f t="shared" si="0"/>
        <v>5.3999999999999999E-2</v>
      </c>
      <c r="N10" s="68">
        <f t="shared" si="0"/>
        <v>5.3999999999999999E-2</v>
      </c>
      <c r="O10" s="69">
        <f t="shared" si="0"/>
        <v>5.3999999999999999E-2</v>
      </c>
    </row>
    <row r="11" spans="2:15">
      <c r="B11" s="60" t="s">
        <v>249</v>
      </c>
      <c r="C11" s="168"/>
      <c r="D11" s="168"/>
      <c r="E11" s="169">
        <v>2</v>
      </c>
      <c r="F11" s="70">
        <v>7.0000000000000007E-2</v>
      </c>
      <c r="G11" s="71">
        <v>7.0000000000000007E-2</v>
      </c>
      <c r="H11" s="71">
        <v>7.0000000000000007E-2</v>
      </c>
      <c r="I11" s="71">
        <v>7.0000000000000007E-2</v>
      </c>
      <c r="J11" s="71">
        <v>7.0000000000000007E-2</v>
      </c>
      <c r="K11" s="72">
        <f t="shared" si="0"/>
        <v>7.0000000000000007E-2</v>
      </c>
      <c r="L11" s="72">
        <f t="shared" si="0"/>
        <v>7.0000000000000007E-2</v>
      </c>
      <c r="M11" s="72">
        <f t="shared" si="0"/>
        <v>7.0000000000000007E-2</v>
      </c>
      <c r="N11" s="72">
        <f t="shared" si="0"/>
        <v>7.0000000000000007E-2</v>
      </c>
      <c r="O11" s="73">
        <f t="shared" si="0"/>
        <v>7.0000000000000007E-2</v>
      </c>
    </row>
    <row r="12" spans="2:15">
      <c r="B12" s="60" t="s">
        <v>250</v>
      </c>
      <c r="C12" s="168"/>
      <c r="D12" s="168"/>
      <c r="E12" s="169">
        <v>3</v>
      </c>
      <c r="F12" s="70">
        <v>5.6000000000000001E-2</v>
      </c>
      <c r="G12" s="71">
        <f>F12-0.004</f>
        <v>5.2000000000000005E-2</v>
      </c>
      <c r="H12" s="71">
        <f t="shared" ref="H12:J12" si="1">G12-0.004</f>
        <v>4.8000000000000001E-2</v>
      </c>
      <c r="I12" s="71">
        <f t="shared" si="1"/>
        <v>4.3999999999999997E-2</v>
      </c>
      <c r="J12" s="71">
        <f t="shared" si="1"/>
        <v>3.9999999999999994E-2</v>
      </c>
      <c r="K12" s="72">
        <f t="shared" si="0"/>
        <v>3.9999999999999994E-2</v>
      </c>
      <c r="L12" s="72">
        <f t="shared" si="0"/>
        <v>3.9999999999999994E-2</v>
      </c>
      <c r="M12" s="72">
        <f t="shared" si="0"/>
        <v>3.9999999999999994E-2</v>
      </c>
      <c r="N12" s="72">
        <f t="shared" si="0"/>
        <v>3.9999999999999994E-2</v>
      </c>
      <c r="O12" s="73">
        <f t="shared" si="0"/>
        <v>3.9999999999999994E-2</v>
      </c>
    </row>
    <row r="13" spans="2:15">
      <c r="B13" s="60" t="s">
        <v>251</v>
      </c>
      <c r="C13" s="168"/>
      <c r="D13" s="168"/>
      <c r="E13" s="169">
        <v>4</v>
      </c>
      <c r="F13" s="70">
        <v>0.05</v>
      </c>
      <c r="G13" s="71">
        <f t="shared" ref="G13:J14" si="2">F13-0.004</f>
        <v>4.5999999999999999E-2</v>
      </c>
      <c r="H13" s="71">
        <f t="shared" si="2"/>
        <v>4.1999999999999996E-2</v>
      </c>
      <c r="I13" s="71">
        <f t="shared" si="2"/>
        <v>3.7999999999999992E-2</v>
      </c>
      <c r="J13" s="71">
        <f t="shared" si="2"/>
        <v>3.3999999999999989E-2</v>
      </c>
      <c r="K13" s="72">
        <f t="shared" si="0"/>
        <v>3.3999999999999989E-2</v>
      </c>
      <c r="L13" s="72">
        <f t="shared" si="0"/>
        <v>3.3999999999999989E-2</v>
      </c>
      <c r="M13" s="72">
        <f t="shared" si="0"/>
        <v>3.3999999999999989E-2</v>
      </c>
      <c r="N13" s="72">
        <f t="shared" si="0"/>
        <v>3.3999999999999989E-2</v>
      </c>
      <c r="O13" s="73">
        <f t="shared" si="0"/>
        <v>3.3999999999999989E-2</v>
      </c>
    </row>
    <row r="14" spans="2:15">
      <c r="B14" s="60" t="s">
        <v>252</v>
      </c>
      <c r="C14" s="168"/>
      <c r="D14" s="168"/>
      <c r="E14" s="169">
        <v>5</v>
      </c>
      <c r="F14" s="74">
        <v>4.5999999999999999E-2</v>
      </c>
      <c r="G14" s="71">
        <f t="shared" si="2"/>
        <v>4.1999999999999996E-2</v>
      </c>
      <c r="H14" s="71">
        <f t="shared" si="2"/>
        <v>3.7999999999999992E-2</v>
      </c>
      <c r="I14" s="71">
        <f t="shared" si="2"/>
        <v>3.3999999999999989E-2</v>
      </c>
      <c r="J14" s="71">
        <f t="shared" si="2"/>
        <v>2.9999999999999988E-2</v>
      </c>
      <c r="K14" s="76">
        <f t="shared" si="0"/>
        <v>2.9999999999999988E-2</v>
      </c>
      <c r="L14" s="76">
        <f t="shared" si="0"/>
        <v>2.9999999999999988E-2</v>
      </c>
      <c r="M14" s="76">
        <f t="shared" si="0"/>
        <v>2.9999999999999988E-2</v>
      </c>
      <c r="N14" s="76">
        <f t="shared" si="0"/>
        <v>2.9999999999999988E-2</v>
      </c>
      <c r="O14" s="77">
        <f t="shared" si="0"/>
        <v>2.9999999999999988E-2</v>
      </c>
    </row>
    <row r="15" spans="2:15">
      <c r="B15" s="60"/>
      <c r="C15" s="168"/>
      <c r="D15" s="168"/>
      <c r="E15" s="169"/>
      <c r="F15" s="173"/>
      <c r="G15" s="173"/>
      <c r="H15" s="173"/>
      <c r="I15" s="173"/>
      <c r="J15" s="173"/>
      <c r="K15" s="173"/>
      <c r="L15" s="173"/>
      <c r="M15" s="173"/>
      <c r="N15" s="173"/>
      <c r="O15" s="173"/>
    </row>
    <row r="16" spans="2:15">
      <c r="B16" s="60" t="s">
        <v>253</v>
      </c>
      <c r="C16" s="168"/>
      <c r="D16" s="168"/>
      <c r="E16" s="169"/>
      <c r="F16" s="65">
        <f>CHOOSE(IS!$C$4,F17,F18,F19,F20,F21)</f>
        <v>0.67</v>
      </c>
      <c r="G16" s="65">
        <f>CHOOSE(IS!$C$4,G17,G18,G19,G20,G21)</f>
        <v>0.66500000000000004</v>
      </c>
      <c r="H16" s="65">
        <f>CHOOSE(IS!$C$4,H17,H18,H19,H20,H21)</f>
        <v>0.66</v>
      </c>
      <c r="I16" s="65">
        <f>CHOOSE(IS!$C$4,I17,I18,I19,I20,I21)</f>
        <v>0.65500000000000003</v>
      </c>
      <c r="J16" s="65">
        <f>CHOOSE(IS!$C$4,J17,J18,J19,J20,J21)</f>
        <v>0.65</v>
      </c>
      <c r="K16" s="65">
        <f>CHOOSE(IS!$C$4,K17,K18,K19,K20,K21)</f>
        <v>0.65</v>
      </c>
      <c r="L16" s="65">
        <f>CHOOSE(IS!$C$4,L17,L18,L19,L20,L21)</f>
        <v>0.65</v>
      </c>
      <c r="M16" s="65">
        <f>CHOOSE(IS!$C$4,M17,M18,M19,M20,M21)</f>
        <v>0.65</v>
      </c>
      <c r="N16" s="65">
        <f>CHOOSE(IS!$C$4,N17,N18,N19,N20,N21)</f>
        <v>0.65</v>
      </c>
      <c r="O16" s="65">
        <f>CHOOSE(IS!$C$4,O17,O18,O19,O20,O21)</f>
        <v>0.65</v>
      </c>
    </row>
    <row r="17" spans="2:15">
      <c r="B17" s="60" t="s">
        <v>248</v>
      </c>
      <c r="C17" s="168"/>
      <c r="D17" s="168"/>
      <c r="E17" s="169">
        <v>1</v>
      </c>
      <c r="F17" s="66">
        <v>0.67</v>
      </c>
      <c r="G17" s="67">
        <f>F17-0.005</f>
        <v>0.66500000000000004</v>
      </c>
      <c r="H17" s="67">
        <f t="shared" ref="H17:J17" si="3">G17-0.005</f>
        <v>0.66</v>
      </c>
      <c r="I17" s="67">
        <f t="shared" si="3"/>
        <v>0.65500000000000003</v>
      </c>
      <c r="J17" s="67">
        <f t="shared" si="3"/>
        <v>0.65</v>
      </c>
      <c r="K17" s="68">
        <f t="shared" ref="K17:O21" si="4">+J17</f>
        <v>0.65</v>
      </c>
      <c r="L17" s="68">
        <f t="shared" si="4"/>
        <v>0.65</v>
      </c>
      <c r="M17" s="68">
        <f t="shared" si="4"/>
        <v>0.65</v>
      </c>
      <c r="N17" s="68">
        <f t="shared" si="4"/>
        <v>0.65</v>
      </c>
      <c r="O17" s="69">
        <f t="shared" si="4"/>
        <v>0.65</v>
      </c>
    </row>
    <row r="18" spans="2:15">
      <c r="B18" s="60" t="s">
        <v>249</v>
      </c>
      <c r="C18" s="168"/>
      <c r="D18" s="168"/>
      <c r="E18" s="169">
        <v>2</v>
      </c>
      <c r="F18" s="70">
        <v>0.64</v>
      </c>
      <c r="G18" s="71">
        <v>0.64</v>
      </c>
      <c r="H18" s="71">
        <v>0.64</v>
      </c>
      <c r="I18" s="71">
        <v>0.64</v>
      </c>
      <c r="J18" s="71">
        <v>0.64</v>
      </c>
      <c r="K18" s="72">
        <f t="shared" si="4"/>
        <v>0.64</v>
      </c>
      <c r="L18" s="72">
        <f t="shared" si="4"/>
        <v>0.64</v>
      </c>
      <c r="M18" s="72">
        <f t="shared" si="4"/>
        <v>0.64</v>
      </c>
      <c r="N18" s="72">
        <f t="shared" si="4"/>
        <v>0.64</v>
      </c>
      <c r="O18" s="73">
        <f t="shared" si="4"/>
        <v>0.64</v>
      </c>
    </row>
    <row r="19" spans="2:15">
      <c r="B19" s="60" t="s">
        <v>250</v>
      </c>
      <c r="C19" s="168"/>
      <c r="D19" s="168"/>
      <c r="E19" s="169">
        <v>3</v>
      </c>
      <c r="F19" s="70">
        <v>0.66</v>
      </c>
      <c r="G19" s="71">
        <v>0.66</v>
      </c>
      <c r="H19" s="71">
        <v>0.66</v>
      </c>
      <c r="I19" s="71">
        <v>0.66</v>
      </c>
      <c r="J19" s="71">
        <v>0.66</v>
      </c>
      <c r="K19" s="72">
        <f>J19</f>
        <v>0.66</v>
      </c>
      <c r="L19" s="72">
        <f t="shared" ref="L19:N19" si="5">K19</f>
        <v>0.66</v>
      </c>
      <c r="M19" s="72">
        <f t="shared" si="5"/>
        <v>0.66</v>
      </c>
      <c r="N19" s="72">
        <f t="shared" si="5"/>
        <v>0.66</v>
      </c>
      <c r="O19" s="73">
        <f>N19</f>
        <v>0.66</v>
      </c>
    </row>
    <row r="20" spans="2:15">
      <c r="B20" s="60" t="s">
        <v>251</v>
      </c>
      <c r="C20" s="168"/>
      <c r="D20" s="168"/>
      <c r="E20" s="169">
        <v>4</v>
      </c>
      <c r="F20" s="70">
        <v>0.67500000000000004</v>
      </c>
      <c r="G20" s="71">
        <v>0.67500000000000004</v>
      </c>
      <c r="H20" s="71">
        <v>0.67500000000000004</v>
      </c>
      <c r="I20" s="71">
        <v>0.67500000000000004</v>
      </c>
      <c r="J20" s="71">
        <v>0.67500000000000004</v>
      </c>
      <c r="K20" s="72">
        <f t="shared" si="4"/>
        <v>0.67500000000000004</v>
      </c>
      <c r="L20" s="72">
        <f t="shared" si="4"/>
        <v>0.67500000000000004</v>
      </c>
      <c r="M20" s="72">
        <f t="shared" si="4"/>
        <v>0.67500000000000004</v>
      </c>
      <c r="N20" s="72">
        <f t="shared" si="4"/>
        <v>0.67500000000000004</v>
      </c>
      <c r="O20" s="73">
        <f t="shared" si="4"/>
        <v>0.67500000000000004</v>
      </c>
    </row>
    <row r="21" spans="2:15">
      <c r="B21" s="60" t="s">
        <v>252</v>
      </c>
      <c r="C21" s="168"/>
      <c r="D21" s="168"/>
      <c r="E21" s="169">
        <v>5</v>
      </c>
      <c r="F21" s="74">
        <v>0.68</v>
      </c>
      <c r="G21" s="75">
        <v>0.68</v>
      </c>
      <c r="H21" s="75">
        <v>0.68</v>
      </c>
      <c r="I21" s="75">
        <v>0.68</v>
      </c>
      <c r="J21" s="75">
        <v>0.68</v>
      </c>
      <c r="K21" s="76">
        <f t="shared" si="4"/>
        <v>0.68</v>
      </c>
      <c r="L21" s="76">
        <f t="shared" si="4"/>
        <v>0.68</v>
      </c>
      <c r="M21" s="76">
        <f t="shared" si="4"/>
        <v>0.68</v>
      </c>
      <c r="N21" s="76">
        <f t="shared" si="4"/>
        <v>0.68</v>
      </c>
      <c r="O21" s="77">
        <f t="shared" si="4"/>
        <v>0.68</v>
      </c>
    </row>
    <row r="22" spans="2:15">
      <c r="B22" s="60"/>
      <c r="C22" s="168"/>
      <c r="D22" s="168"/>
      <c r="E22" s="169"/>
      <c r="F22" s="173"/>
      <c r="G22" s="173"/>
      <c r="H22" s="173"/>
      <c r="I22" s="173"/>
      <c r="J22" s="173"/>
      <c r="K22" s="173"/>
      <c r="L22" s="173"/>
      <c r="M22" s="173"/>
      <c r="N22" s="173"/>
      <c r="O22" s="173"/>
    </row>
    <row r="23" spans="2:15">
      <c r="B23" s="60" t="s">
        <v>254</v>
      </c>
      <c r="C23" s="168"/>
      <c r="D23" s="168"/>
      <c r="E23" s="169"/>
      <c r="F23" s="65">
        <f>CHOOSE(IS!$C$4,F24,F25,F26,F27,F28)</f>
        <v>0.22500000000000001</v>
      </c>
      <c r="G23" s="65">
        <f>CHOOSE(IS!$C$4,G24,G25,G26,G27,G28)</f>
        <v>0.22500000000000001</v>
      </c>
      <c r="H23" s="65">
        <f>CHOOSE(IS!$C$4,H24,H25,H26,H27,H28)</f>
        <v>0.22500000000000001</v>
      </c>
      <c r="I23" s="65">
        <f>CHOOSE(IS!$C$4,I24,I25,I26,I27,I28)</f>
        <v>0.22500000000000001</v>
      </c>
      <c r="J23" s="65">
        <f>CHOOSE(IS!$C$4,J24,J25,J26,J27,J28)</f>
        <v>0.22500000000000001</v>
      </c>
      <c r="K23" s="65">
        <f>CHOOSE(IS!$C$4,K24,K25,K26,K27,K28)</f>
        <v>0.22500000000000001</v>
      </c>
      <c r="L23" s="65">
        <f>CHOOSE(IS!$C$4,L24,L25,L26,L27,L28)</f>
        <v>0.22500000000000001</v>
      </c>
      <c r="M23" s="65">
        <f>CHOOSE(IS!$C$4,M24,M25,M26,M27,M28)</f>
        <v>0.22500000000000001</v>
      </c>
      <c r="N23" s="65">
        <f>CHOOSE(IS!$C$4,N24,N25,N26,N27,N28)</f>
        <v>0.22500000000000001</v>
      </c>
      <c r="O23" s="65">
        <f>CHOOSE(IS!$C$4,O24,O25,O26,O27,O28)</f>
        <v>0.22500000000000001</v>
      </c>
    </row>
    <row r="24" spans="2:15">
      <c r="B24" s="60" t="s">
        <v>248</v>
      </c>
      <c r="C24" s="168"/>
      <c r="D24" s="168"/>
      <c r="E24" s="169">
        <v>1</v>
      </c>
      <c r="F24" s="66">
        <v>0.22500000000000001</v>
      </c>
      <c r="G24" s="67">
        <f>F24</f>
        <v>0.22500000000000001</v>
      </c>
      <c r="H24" s="67">
        <f t="shared" ref="H24:J24" si="6">G24</f>
        <v>0.22500000000000001</v>
      </c>
      <c r="I24" s="67">
        <f t="shared" si="6"/>
        <v>0.22500000000000001</v>
      </c>
      <c r="J24" s="67">
        <f t="shared" si="6"/>
        <v>0.22500000000000001</v>
      </c>
      <c r="K24" s="68">
        <f t="shared" ref="K24:O28" si="7">+J24</f>
        <v>0.22500000000000001</v>
      </c>
      <c r="L24" s="68">
        <f t="shared" si="7"/>
        <v>0.22500000000000001</v>
      </c>
      <c r="M24" s="68">
        <f t="shared" si="7"/>
        <v>0.22500000000000001</v>
      </c>
      <c r="N24" s="68">
        <f t="shared" si="7"/>
        <v>0.22500000000000001</v>
      </c>
      <c r="O24" s="69">
        <f t="shared" si="7"/>
        <v>0.22500000000000001</v>
      </c>
    </row>
    <row r="25" spans="2:15">
      <c r="B25" s="60" t="s">
        <v>249</v>
      </c>
      <c r="C25" s="168"/>
      <c r="D25" s="168"/>
      <c r="E25" s="169">
        <v>2</v>
      </c>
      <c r="F25" s="70">
        <v>0.22</v>
      </c>
      <c r="G25" s="71">
        <v>0.22</v>
      </c>
      <c r="H25" s="71">
        <v>0.22</v>
      </c>
      <c r="I25" s="71">
        <v>0.22</v>
      </c>
      <c r="J25" s="71">
        <v>0.22</v>
      </c>
      <c r="K25" s="72">
        <f t="shared" si="7"/>
        <v>0.22</v>
      </c>
      <c r="L25" s="72">
        <f t="shared" si="7"/>
        <v>0.22</v>
      </c>
      <c r="M25" s="72">
        <f t="shared" si="7"/>
        <v>0.22</v>
      </c>
      <c r="N25" s="72">
        <f t="shared" si="7"/>
        <v>0.22</v>
      </c>
      <c r="O25" s="73">
        <f t="shared" si="7"/>
        <v>0.22</v>
      </c>
    </row>
    <row r="26" spans="2:15">
      <c r="B26" s="60" t="s">
        <v>250</v>
      </c>
      <c r="C26" s="168"/>
      <c r="D26" s="168"/>
      <c r="E26" s="169">
        <v>3</v>
      </c>
      <c r="F26" s="70">
        <v>0.23</v>
      </c>
      <c r="G26" s="71">
        <v>0.23</v>
      </c>
      <c r="H26" s="71">
        <v>0.23</v>
      </c>
      <c r="I26" s="71">
        <v>0.23</v>
      </c>
      <c r="J26" s="71">
        <v>0.23</v>
      </c>
      <c r="K26" s="72">
        <f t="shared" si="7"/>
        <v>0.23</v>
      </c>
      <c r="L26" s="72">
        <f t="shared" si="7"/>
        <v>0.23</v>
      </c>
      <c r="M26" s="72">
        <f t="shared" si="7"/>
        <v>0.23</v>
      </c>
      <c r="N26" s="72">
        <f t="shared" si="7"/>
        <v>0.23</v>
      </c>
      <c r="O26" s="73">
        <f t="shared" si="7"/>
        <v>0.23</v>
      </c>
    </row>
    <row r="27" spans="2:15">
      <c r="B27" s="60" t="s">
        <v>251</v>
      </c>
      <c r="C27" s="168"/>
      <c r="D27" s="168"/>
      <c r="E27" s="169">
        <v>4</v>
      </c>
      <c r="F27" s="70">
        <v>0.255</v>
      </c>
      <c r="G27" s="71">
        <v>0.255</v>
      </c>
      <c r="H27" s="71">
        <v>0.255</v>
      </c>
      <c r="I27" s="71">
        <v>0.255</v>
      </c>
      <c r="J27" s="71">
        <v>0.255</v>
      </c>
      <c r="K27" s="72">
        <f t="shared" si="7"/>
        <v>0.255</v>
      </c>
      <c r="L27" s="72">
        <f t="shared" si="7"/>
        <v>0.255</v>
      </c>
      <c r="M27" s="72">
        <f t="shared" si="7"/>
        <v>0.255</v>
      </c>
      <c r="N27" s="72">
        <f t="shared" si="7"/>
        <v>0.255</v>
      </c>
      <c r="O27" s="73">
        <f t="shared" si="7"/>
        <v>0.255</v>
      </c>
    </row>
    <row r="28" spans="2:15">
      <c r="B28" s="60" t="s">
        <v>252</v>
      </c>
      <c r="C28" s="168"/>
      <c r="D28" s="168"/>
      <c r="E28" s="169">
        <v>5</v>
      </c>
      <c r="F28" s="74">
        <v>0.26</v>
      </c>
      <c r="G28" s="75">
        <v>0.26</v>
      </c>
      <c r="H28" s="75">
        <v>0.26</v>
      </c>
      <c r="I28" s="75">
        <v>0.26</v>
      </c>
      <c r="J28" s="75">
        <v>0.26</v>
      </c>
      <c r="K28" s="76">
        <f t="shared" si="7"/>
        <v>0.26</v>
      </c>
      <c r="L28" s="76">
        <f t="shared" si="7"/>
        <v>0.26</v>
      </c>
      <c r="M28" s="76">
        <f t="shared" si="7"/>
        <v>0.26</v>
      </c>
      <c r="N28" s="76">
        <f t="shared" si="7"/>
        <v>0.26</v>
      </c>
      <c r="O28" s="77">
        <f t="shared" si="7"/>
        <v>0.26</v>
      </c>
    </row>
    <row r="29" spans="2:15">
      <c r="B29" s="60"/>
      <c r="C29" s="168"/>
      <c r="D29" s="168"/>
      <c r="E29" s="169"/>
      <c r="F29" s="173"/>
      <c r="G29" s="173"/>
      <c r="H29" s="173"/>
      <c r="I29" s="173"/>
      <c r="J29" s="173"/>
      <c r="K29" s="173"/>
      <c r="L29" s="173"/>
      <c r="M29" s="173"/>
      <c r="N29" s="173"/>
      <c r="O29" s="173"/>
    </row>
    <row r="30" spans="2:15">
      <c r="B30" s="60" t="s">
        <v>255</v>
      </c>
      <c r="C30" s="168"/>
      <c r="D30" s="168"/>
      <c r="E30" s="169"/>
      <c r="F30" s="65">
        <f>CHOOSE(IS!$C$4,F31,F32,F33,F34,F35)</f>
        <v>2.1999999999999999E-2</v>
      </c>
      <c r="G30" s="65">
        <f>CHOOSE(IS!$C$4,G31,G32,G33,G34,G35)</f>
        <v>2.1999999999999999E-2</v>
      </c>
      <c r="H30" s="65">
        <f>CHOOSE(IS!$C$4,H31,H32,H33,H34,H35)</f>
        <v>2.1999999999999999E-2</v>
      </c>
      <c r="I30" s="65">
        <f>CHOOSE(IS!$C$4,I31,I32,I33,I34,I35)</f>
        <v>2.1999999999999999E-2</v>
      </c>
      <c r="J30" s="65">
        <f>CHOOSE(IS!$C$4,J31,J32,J33,J34,J35)</f>
        <v>2.1999999999999999E-2</v>
      </c>
      <c r="K30" s="65">
        <f>CHOOSE(IS!$C$4,K31,K32,K33,K34,K35)</f>
        <v>2.1999999999999999E-2</v>
      </c>
      <c r="L30" s="65">
        <f>CHOOSE(IS!$C$4,L31,L32,L33,L34,L35)</f>
        <v>2.1999999999999999E-2</v>
      </c>
      <c r="M30" s="65">
        <f>CHOOSE(IS!$C$4,M31,M32,M33,M34,M35)</f>
        <v>2.1999999999999999E-2</v>
      </c>
      <c r="N30" s="65">
        <f>CHOOSE(IS!$C$4,N31,N32,N33,N34,N35)</f>
        <v>2.1999999999999999E-2</v>
      </c>
      <c r="O30" s="65">
        <f>CHOOSE(IS!$C$4,O31,O32,O33,O34,O35)</f>
        <v>2.1999999999999999E-2</v>
      </c>
    </row>
    <row r="31" spans="2:15">
      <c r="B31" s="60" t="s">
        <v>248</v>
      </c>
      <c r="C31" s="168"/>
      <c r="D31" s="168"/>
      <c r="E31" s="169">
        <v>1</v>
      </c>
      <c r="F31" s="66">
        <v>2.1999999999999999E-2</v>
      </c>
      <c r="G31" s="67">
        <v>2.1999999999999999E-2</v>
      </c>
      <c r="H31" s="67">
        <v>2.1999999999999999E-2</v>
      </c>
      <c r="I31" s="67">
        <v>2.1999999999999999E-2</v>
      </c>
      <c r="J31" s="67">
        <v>2.1999999999999999E-2</v>
      </c>
      <c r="K31" s="68">
        <f t="shared" ref="K31:O35" si="8">+J31</f>
        <v>2.1999999999999999E-2</v>
      </c>
      <c r="L31" s="68">
        <f t="shared" si="8"/>
        <v>2.1999999999999999E-2</v>
      </c>
      <c r="M31" s="68">
        <f t="shared" si="8"/>
        <v>2.1999999999999999E-2</v>
      </c>
      <c r="N31" s="68">
        <f t="shared" si="8"/>
        <v>2.1999999999999999E-2</v>
      </c>
      <c r="O31" s="69">
        <f t="shared" si="8"/>
        <v>2.1999999999999999E-2</v>
      </c>
    </row>
    <row r="32" spans="2:15">
      <c r="B32" s="60" t="s">
        <v>249</v>
      </c>
      <c r="C32" s="168"/>
      <c r="D32" s="168"/>
      <c r="E32" s="169">
        <v>2</v>
      </c>
      <c r="F32" s="70">
        <v>1.4999999999999999E-2</v>
      </c>
      <c r="G32" s="71">
        <v>1.4999999999999999E-2</v>
      </c>
      <c r="H32" s="71">
        <v>1.4999999999999999E-2</v>
      </c>
      <c r="I32" s="71">
        <v>1.4999999999999999E-2</v>
      </c>
      <c r="J32" s="71">
        <v>1.4999999999999999E-2</v>
      </c>
      <c r="K32" s="72">
        <f t="shared" si="8"/>
        <v>1.4999999999999999E-2</v>
      </c>
      <c r="L32" s="72">
        <f t="shared" si="8"/>
        <v>1.4999999999999999E-2</v>
      </c>
      <c r="M32" s="72">
        <f t="shared" si="8"/>
        <v>1.4999999999999999E-2</v>
      </c>
      <c r="N32" s="72">
        <f t="shared" si="8"/>
        <v>1.4999999999999999E-2</v>
      </c>
      <c r="O32" s="73">
        <f t="shared" si="8"/>
        <v>1.4999999999999999E-2</v>
      </c>
    </row>
    <row r="33" spans="2:15">
      <c r="B33" s="60" t="s">
        <v>250</v>
      </c>
      <c r="C33" s="168"/>
      <c r="D33" s="168"/>
      <c r="E33" s="169">
        <v>3</v>
      </c>
      <c r="F33" s="70">
        <v>0.02</v>
      </c>
      <c r="G33" s="71">
        <v>0.02</v>
      </c>
      <c r="H33" s="71">
        <v>0.02</v>
      </c>
      <c r="I33" s="71">
        <v>0.02</v>
      </c>
      <c r="J33" s="71">
        <v>0.02</v>
      </c>
      <c r="K33" s="72">
        <f t="shared" si="8"/>
        <v>0.02</v>
      </c>
      <c r="L33" s="72">
        <f t="shared" si="8"/>
        <v>0.02</v>
      </c>
      <c r="M33" s="72">
        <f t="shared" si="8"/>
        <v>0.02</v>
      </c>
      <c r="N33" s="72">
        <f t="shared" si="8"/>
        <v>0.02</v>
      </c>
      <c r="O33" s="73">
        <f t="shared" si="8"/>
        <v>0.02</v>
      </c>
    </row>
    <row r="34" spans="2:15">
      <c r="B34" s="60" t="s">
        <v>251</v>
      </c>
      <c r="C34" s="168"/>
      <c r="D34" s="168"/>
      <c r="E34" s="169">
        <v>4</v>
      </c>
      <c r="F34" s="70">
        <v>2.5000000000000001E-2</v>
      </c>
      <c r="G34" s="71">
        <v>2.5000000000000001E-2</v>
      </c>
      <c r="H34" s="71">
        <v>2.5000000000000001E-2</v>
      </c>
      <c r="I34" s="71">
        <v>2.5000000000000001E-2</v>
      </c>
      <c r="J34" s="71">
        <v>2.5000000000000001E-2</v>
      </c>
      <c r="K34" s="72">
        <f t="shared" si="8"/>
        <v>2.5000000000000001E-2</v>
      </c>
      <c r="L34" s="72">
        <f t="shared" si="8"/>
        <v>2.5000000000000001E-2</v>
      </c>
      <c r="M34" s="72">
        <f t="shared" si="8"/>
        <v>2.5000000000000001E-2</v>
      </c>
      <c r="N34" s="72">
        <f t="shared" si="8"/>
        <v>2.5000000000000001E-2</v>
      </c>
      <c r="O34" s="73">
        <f t="shared" si="8"/>
        <v>2.5000000000000001E-2</v>
      </c>
    </row>
    <row r="35" spans="2:15">
      <c r="B35" s="60" t="s">
        <v>252</v>
      </c>
      <c r="C35" s="168"/>
      <c r="D35" s="168"/>
      <c r="E35" s="169">
        <v>5</v>
      </c>
      <c r="F35" s="74">
        <v>2.7E-2</v>
      </c>
      <c r="G35" s="75">
        <v>2.7E-2</v>
      </c>
      <c r="H35" s="75">
        <v>2.7E-2</v>
      </c>
      <c r="I35" s="75">
        <v>2.7E-2</v>
      </c>
      <c r="J35" s="75">
        <v>2.7E-2</v>
      </c>
      <c r="K35" s="76">
        <f t="shared" si="8"/>
        <v>2.7E-2</v>
      </c>
      <c r="L35" s="76">
        <f t="shared" si="8"/>
        <v>2.7E-2</v>
      </c>
      <c r="M35" s="76">
        <f t="shared" si="8"/>
        <v>2.7E-2</v>
      </c>
      <c r="N35" s="76">
        <f t="shared" si="8"/>
        <v>2.7E-2</v>
      </c>
      <c r="O35" s="77">
        <f t="shared" si="8"/>
        <v>2.7E-2</v>
      </c>
    </row>
    <row r="36" spans="2:15">
      <c r="B36" s="60"/>
      <c r="C36" s="170"/>
      <c r="D36" s="170"/>
      <c r="E36" s="171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>
      <c r="B37" s="60" t="s">
        <v>398</v>
      </c>
      <c r="C37" s="168"/>
      <c r="D37" s="168"/>
      <c r="E37" s="169"/>
      <c r="F37" s="499">
        <f>CHOOSE(IS!$C$4,F38,F39,F40,F41,F42)</f>
        <v>0.23</v>
      </c>
      <c r="G37" s="499">
        <f>CHOOSE(IS!$C$4,G38,G39,G40,G41,G42)</f>
        <v>0.23</v>
      </c>
      <c r="H37" s="499">
        <f>CHOOSE(IS!$C$4,H38,H39,H40,H41,H42)</f>
        <v>0.23</v>
      </c>
      <c r="I37" s="499">
        <f>CHOOSE(IS!$C$4,I38,I39,I40,I41,I42)</f>
        <v>0.23</v>
      </c>
      <c r="J37" s="499">
        <f>CHOOSE(IS!$C$4,J38,J39,J40,J41,J42)</f>
        <v>0.23</v>
      </c>
      <c r="K37" s="499">
        <f>CHOOSE(IS!$C$4,K38,K39,K40,K41,K42)</f>
        <v>0.23</v>
      </c>
      <c r="L37" s="499">
        <f>CHOOSE(IS!$C$4,L38,L39,L40,L41,L42)</f>
        <v>0.23</v>
      </c>
      <c r="M37" s="499">
        <f>CHOOSE(IS!$C$4,M38,M39,M40,M41,M42)</f>
        <v>0.23</v>
      </c>
      <c r="N37" s="499">
        <f>CHOOSE(IS!$C$4,N38,N39,N40,N41,N42)</f>
        <v>0.23</v>
      </c>
      <c r="O37" s="499">
        <f>CHOOSE(IS!$C$4,O38,O39,O40,O41,O42)</f>
        <v>0.23</v>
      </c>
    </row>
    <row r="38" spans="2:15">
      <c r="B38" s="60" t="s">
        <v>248</v>
      </c>
      <c r="C38" s="168"/>
      <c r="D38" s="168"/>
      <c r="E38" s="169">
        <v>1</v>
      </c>
      <c r="F38" s="66">
        <v>0.23</v>
      </c>
      <c r="G38" s="67">
        <v>0.23</v>
      </c>
      <c r="H38" s="67">
        <v>0.23</v>
      </c>
      <c r="I38" s="67">
        <v>0.23</v>
      </c>
      <c r="J38" s="67">
        <v>0.23</v>
      </c>
      <c r="K38" s="68">
        <f>J38</f>
        <v>0.23</v>
      </c>
      <c r="L38" s="68">
        <f t="shared" ref="L38:N38" si="9">K38</f>
        <v>0.23</v>
      </c>
      <c r="M38" s="68">
        <f t="shared" si="9"/>
        <v>0.23</v>
      </c>
      <c r="N38" s="68">
        <f t="shared" si="9"/>
        <v>0.23</v>
      </c>
      <c r="O38" s="69">
        <f>N38</f>
        <v>0.23</v>
      </c>
    </row>
    <row r="39" spans="2:15">
      <c r="B39" s="60" t="s">
        <v>249</v>
      </c>
      <c r="C39" s="168"/>
      <c r="D39" s="168"/>
      <c r="E39" s="169">
        <v>2</v>
      </c>
      <c r="F39" s="70">
        <v>0.23</v>
      </c>
      <c r="G39" s="71">
        <v>0.23</v>
      </c>
      <c r="H39" s="71">
        <v>0.23</v>
      </c>
      <c r="I39" s="71">
        <v>0.23</v>
      </c>
      <c r="J39" s="71">
        <v>0.23</v>
      </c>
      <c r="K39" s="72">
        <f>J39</f>
        <v>0.23</v>
      </c>
      <c r="L39" s="72">
        <f t="shared" ref="L39:L42" si="10">K39</f>
        <v>0.23</v>
      </c>
      <c r="M39" s="72">
        <f t="shared" ref="M39:M42" si="11">L39</f>
        <v>0.23</v>
      </c>
      <c r="N39" s="72">
        <f t="shared" ref="N39:N42" si="12">M39</f>
        <v>0.23</v>
      </c>
      <c r="O39" s="73">
        <f>N39</f>
        <v>0.23</v>
      </c>
    </row>
    <row r="40" spans="2:15">
      <c r="B40" s="60" t="s">
        <v>250</v>
      </c>
      <c r="C40" s="168"/>
      <c r="D40" s="168"/>
      <c r="E40" s="169">
        <v>3</v>
      </c>
      <c r="F40" s="70">
        <v>0.23</v>
      </c>
      <c r="G40" s="71">
        <v>0.23</v>
      </c>
      <c r="H40" s="71">
        <v>0.23</v>
      </c>
      <c r="I40" s="71">
        <v>0.23</v>
      </c>
      <c r="J40" s="71">
        <v>0.23</v>
      </c>
      <c r="K40" s="72">
        <f>J40</f>
        <v>0.23</v>
      </c>
      <c r="L40" s="72">
        <f t="shared" si="10"/>
        <v>0.23</v>
      </c>
      <c r="M40" s="72">
        <f t="shared" si="11"/>
        <v>0.23</v>
      </c>
      <c r="N40" s="72">
        <f t="shared" si="12"/>
        <v>0.23</v>
      </c>
      <c r="O40" s="73">
        <f>N40</f>
        <v>0.23</v>
      </c>
    </row>
    <row r="41" spans="2:15">
      <c r="B41" s="60" t="s">
        <v>251</v>
      </c>
      <c r="C41" s="168"/>
      <c r="D41" s="168"/>
      <c r="E41" s="169">
        <v>4</v>
      </c>
      <c r="F41" s="70">
        <v>0.25</v>
      </c>
      <c r="G41" s="71">
        <v>0.25</v>
      </c>
      <c r="H41" s="71">
        <v>0.25</v>
      </c>
      <c r="I41" s="71">
        <v>0.25</v>
      </c>
      <c r="J41" s="71">
        <v>0.25</v>
      </c>
      <c r="K41" s="72">
        <f>J41</f>
        <v>0.25</v>
      </c>
      <c r="L41" s="72">
        <f t="shared" si="10"/>
        <v>0.25</v>
      </c>
      <c r="M41" s="72">
        <f t="shared" si="11"/>
        <v>0.25</v>
      </c>
      <c r="N41" s="72">
        <f t="shared" si="12"/>
        <v>0.25</v>
      </c>
      <c r="O41" s="73">
        <f>N41</f>
        <v>0.25</v>
      </c>
    </row>
    <row r="42" spans="2:15">
      <c r="B42" s="60" t="s">
        <v>252</v>
      </c>
      <c r="C42" s="168"/>
      <c r="D42" s="168"/>
      <c r="E42" s="169">
        <v>5</v>
      </c>
      <c r="F42" s="74">
        <v>0.26</v>
      </c>
      <c r="G42" s="75">
        <v>0.26</v>
      </c>
      <c r="H42" s="75">
        <v>0.26</v>
      </c>
      <c r="I42" s="75">
        <v>0.26</v>
      </c>
      <c r="J42" s="75">
        <v>0.26</v>
      </c>
      <c r="K42" s="76">
        <f>J42</f>
        <v>0.26</v>
      </c>
      <c r="L42" s="76">
        <f t="shared" si="10"/>
        <v>0.26</v>
      </c>
      <c r="M42" s="76">
        <f t="shared" si="11"/>
        <v>0.26</v>
      </c>
      <c r="N42" s="76">
        <f t="shared" si="12"/>
        <v>0.26</v>
      </c>
      <c r="O42" s="77">
        <f>N42</f>
        <v>0.26</v>
      </c>
    </row>
    <row r="43" spans="2:15">
      <c r="B43" s="60"/>
      <c r="C43" s="170"/>
      <c r="D43" s="170"/>
      <c r="E43" s="171"/>
      <c r="F43" s="177"/>
      <c r="G43" s="177"/>
      <c r="H43" s="177"/>
      <c r="I43" s="177"/>
      <c r="J43" s="177"/>
      <c r="K43" s="177"/>
      <c r="L43" s="177"/>
      <c r="M43" s="177"/>
      <c r="N43" s="177"/>
      <c r="O43" s="177"/>
    </row>
    <row r="44" spans="2:15">
      <c r="B44" s="79" t="s">
        <v>256</v>
      </c>
      <c r="C44" s="168"/>
      <c r="D44" s="168"/>
      <c r="E44" s="169"/>
      <c r="F44" s="63"/>
      <c r="G44" s="63"/>
      <c r="H44" s="63"/>
      <c r="I44" s="63"/>
      <c r="J44" s="63"/>
      <c r="K44" s="63"/>
      <c r="L44" s="63"/>
      <c r="M44" s="63"/>
      <c r="N44" s="63"/>
      <c r="O44" s="63"/>
    </row>
    <row r="45" spans="2:15">
      <c r="B45" s="175" t="s">
        <v>257</v>
      </c>
      <c r="C45" s="168"/>
      <c r="D45" s="168"/>
      <c r="E45" s="169"/>
      <c r="F45" s="500">
        <f>CHOOSE(IS!$C$4,F46,F47,F48,F49,F50)</f>
        <v>0.05</v>
      </c>
      <c r="G45" s="500">
        <f>CHOOSE(IS!$C$4,G46,G47,G48,G49,G50)</f>
        <v>5.2499999999999998E-2</v>
      </c>
      <c r="H45" s="500">
        <f>CHOOSE(IS!$C$4,H46,H47,H48,H49,H50)</f>
        <v>5.5E-2</v>
      </c>
      <c r="I45" s="500">
        <f>CHOOSE(IS!$C$4,I46,I47,I48,I49,I50)</f>
        <v>5.7500000000000002E-2</v>
      </c>
      <c r="J45" s="500">
        <f>CHOOSE(IS!$C$4,J46,J47,J48,J49,J50)</f>
        <v>5.7500000000000002E-2</v>
      </c>
      <c r="K45" s="500">
        <f>CHOOSE(IS!$C$4,K46,K47,K48,K49,K50)</f>
        <v>5.7500000000000002E-2</v>
      </c>
      <c r="L45" s="500">
        <f>CHOOSE(IS!$C$4,L46,L47,L48,L49,L50)</f>
        <v>5.7500000000000002E-2</v>
      </c>
      <c r="M45" s="500">
        <f>CHOOSE(IS!$C$4,M46,M47,M48,M49,M50)</f>
        <v>5.7500000000000002E-2</v>
      </c>
      <c r="N45" s="500">
        <f>CHOOSE(IS!$C$4,N46,N47,N48,N49,N50)</f>
        <v>5.7500000000000002E-2</v>
      </c>
      <c r="O45" s="500">
        <f>CHOOSE(IS!$C$4,O46,O47,O48,O49,O50)</f>
        <v>5.7500000000000002E-2</v>
      </c>
    </row>
    <row r="46" spans="2:15">
      <c r="B46" s="60" t="s">
        <v>248</v>
      </c>
      <c r="C46" s="168"/>
      <c r="D46" s="168"/>
      <c r="E46" s="169">
        <v>1</v>
      </c>
      <c r="F46" s="66">
        <v>0.05</v>
      </c>
      <c r="G46" s="67">
        <v>5.2499999999999998E-2</v>
      </c>
      <c r="H46" s="67">
        <v>5.5E-2</v>
      </c>
      <c r="I46" s="67">
        <v>5.7500000000000002E-2</v>
      </c>
      <c r="J46" s="67">
        <v>5.7500000000000002E-2</v>
      </c>
      <c r="K46" s="68">
        <f t="shared" ref="K46:O50" si="13">+J46</f>
        <v>5.7500000000000002E-2</v>
      </c>
      <c r="L46" s="68">
        <f t="shared" si="13"/>
        <v>5.7500000000000002E-2</v>
      </c>
      <c r="M46" s="68">
        <f t="shared" si="13"/>
        <v>5.7500000000000002E-2</v>
      </c>
      <c r="N46" s="68">
        <f t="shared" si="13"/>
        <v>5.7500000000000002E-2</v>
      </c>
      <c r="O46" s="69">
        <f t="shared" si="13"/>
        <v>5.7500000000000002E-2</v>
      </c>
    </row>
    <row r="47" spans="2:15">
      <c r="B47" s="60" t="s">
        <v>249</v>
      </c>
      <c r="C47" s="168"/>
      <c r="D47" s="168"/>
      <c r="E47" s="169">
        <v>2</v>
      </c>
      <c r="F47" s="70">
        <f t="shared" ref="F47:J50" si="14">F32*2</f>
        <v>0.03</v>
      </c>
      <c r="G47" s="71">
        <f t="shared" si="14"/>
        <v>0.03</v>
      </c>
      <c r="H47" s="71">
        <f t="shared" si="14"/>
        <v>0.03</v>
      </c>
      <c r="I47" s="71">
        <f t="shared" si="14"/>
        <v>0.03</v>
      </c>
      <c r="J47" s="71">
        <f t="shared" si="14"/>
        <v>0.03</v>
      </c>
      <c r="K47" s="72">
        <f t="shared" si="13"/>
        <v>0.03</v>
      </c>
      <c r="L47" s="72">
        <f t="shared" si="13"/>
        <v>0.03</v>
      </c>
      <c r="M47" s="72">
        <f t="shared" si="13"/>
        <v>0.03</v>
      </c>
      <c r="N47" s="72">
        <f t="shared" si="13"/>
        <v>0.03</v>
      </c>
      <c r="O47" s="73">
        <f t="shared" si="13"/>
        <v>0.03</v>
      </c>
    </row>
    <row r="48" spans="2:15">
      <c r="B48" s="60" t="s">
        <v>250</v>
      </c>
      <c r="C48" s="168"/>
      <c r="D48" s="168"/>
      <c r="E48" s="169">
        <v>3</v>
      </c>
      <c r="F48" s="70">
        <f t="shared" si="14"/>
        <v>0.04</v>
      </c>
      <c r="G48" s="71">
        <f t="shared" si="14"/>
        <v>0.04</v>
      </c>
      <c r="H48" s="71">
        <f t="shared" si="14"/>
        <v>0.04</v>
      </c>
      <c r="I48" s="71">
        <f t="shared" si="14"/>
        <v>0.04</v>
      </c>
      <c r="J48" s="71">
        <f t="shared" si="14"/>
        <v>0.04</v>
      </c>
      <c r="K48" s="72">
        <v>2.2499999999999999E-2</v>
      </c>
      <c r="L48" s="72">
        <v>2.2499999999999999E-2</v>
      </c>
      <c r="M48" s="72">
        <v>2.2499999999999999E-2</v>
      </c>
      <c r="N48" s="72">
        <v>2.2499999999999999E-2</v>
      </c>
      <c r="O48" s="73">
        <v>2.2499999999999999E-2</v>
      </c>
    </row>
    <row r="49" spans="2:15">
      <c r="B49" s="60" t="s">
        <v>251</v>
      </c>
      <c r="C49" s="168"/>
      <c r="D49" s="168"/>
      <c r="E49" s="169">
        <v>4</v>
      </c>
      <c r="F49" s="70">
        <f t="shared" si="14"/>
        <v>0.05</v>
      </c>
      <c r="G49" s="71">
        <f t="shared" si="14"/>
        <v>0.05</v>
      </c>
      <c r="H49" s="71">
        <f t="shared" si="14"/>
        <v>0.05</v>
      </c>
      <c r="I49" s="71">
        <f t="shared" si="14"/>
        <v>0.05</v>
      </c>
      <c r="J49" s="71">
        <f t="shared" si="14"/>
        <v>0.05</v>
      </c>
      <c r="K49" s="72">
        <f t="shared" si="13"/>
        <v>0.05</v>
      </c>
      <c r="L49" s="72">
        <f t="shared" si="13"/>
        <v>0.05</v>
      </c>
      <c r="M49" s="72">
        <f t="shared" si="13"/>
        <v>0.05</v>
      </c>
      <c r="N49" s="72">
        <f t="shared" si="13"/>
        <v>0.05</v>
      </c>
      <c r="O49" s="73">
        <f t="shared" si="13"/>
        <v>0.05</v>
      </c>
    </row>
    <row r="50" spans="2:15">
      <c r="B50" s="60" t="s">
        <v>252</v>
      </c>
      <c r="C50" s="168"/>
      <c r="D50" s="168"/>
      <c r="E50" s="169">
        <v>5</v>
      </c>
      <c r="F50" s="74">
        <f t="shared" si="14"/>
        <v>5.3999999999999999E-2</v>
      </c>
      <c r="G50" s="75">
        <f t="shared" si="14"/>
        <v>5.3999999999999999E-2</v>
      </c>
      <c r="H50" s="75">
        <f t="shared" si="14"/>
        <v>5.3999999999999999E-2</v>
      </c>
      <c r="I50" s="75">
        <f t="shared" si="14"/>
        <v>5.3999999999999999E-2</v>
      </c>
      <c r="J50" s="75">
        <f t="shared" si="14"/>
        <v>5.3999999999999999E-2</v>
      </c>
      <c r="K50" s="76">
        <f t="shared" si="13"/>
        <v>5.3999999999999999E-2</v>
      </c>
      <c r="L50" s="76">
        <f t="shared" si="13"/>
        <v>5.3999999999999999E-2</v>
      </c>
      <c r="M50" s="76">
        <f t="shared" si="13"/>
        <v>5.3999999999999999E-2</v>
      </c>
      <c r="N50" s="76">
        <f t="shared" si="13"/>
        <v>5.3999999999999999E-2</v>
      </c>
      <c r="O50" s="77">
        <f t="shared" si="13"/>
        <v>5.3999999999999999E-2</v>
      </c>
    </row>
    <row r="52" spans="2:15">
      <c r="B52" s="175" t="s">
        <v>397</v>
      </c>
      <c r="E52" s="169"/>
      <c r="F52" s="78">
        <f>CHOOSE(IS!$C$4,F53,F54,F55,F56,F57)</f>
        <v>5.0000000000000001E-4</v>
      </c>
      <c r="G52" s="78">
        <f>CHOOSE(IS!$C$4,G53,G54,G55,G56,G57)</f>
        <v>5.0000000000000001E-4</v>
      </c>
      <c r="H52" s="78">
        <f>CHOOSE(IS!$C$4,H53,H54,H55,H56,H57)</f>
        <v>5.0000000000000001E-4</v>
      </c>
      <c r="I52" s="78">
        <f>CHOOSE(IS!$C$4,I53,I54,I55,I56,I57)</f>
        <v>5.0000000000000001E-4</v>
      </c>
      <c r="J52" s="78">
        <f>CHOOSE(IS!$C$4,J53,J54,J55,J56,J57)</f>
        <v>5.0000000000000001E-4</v>
      </c>
      <c r="K52" s="78">
        <f>CHOOSE(IS!$C$4,K53,K54,K55,K56,K57)</f>
        <v>5.0000000000000001E-4</v>
      </c>
      <c r="L52" s="78">
        <f>CHOOSE(IS!$C$4,L53,L54,L55,L56,L57)</f>
        <v>5.0000000000000001E-4</v>
      </c>
      <c r="M52" s="78">
        <f>CHOOSE(IS!$C$4,M53,M54,M55,M56,M57)</f>
        <v>5.0000000000000001E-4</v>
      </c>
      <c r="N52" s="78">
        <f>CHOOSE(IS!$C$4,N53,N54,N55,N56,N57)</f>
        <v>5.0000000000000001E-4</v>
      </c>
      <c r="O52" s="78">
        <f>CHOOSE(IS!$C$4,O53,O54,O55,O56,O57)</f>
        <v>5.0000000000000001E-4</v>
      </c>
    </row>
    <row r="53" spans="2:15">
      <c r="B53" s="60" t="s">
        <v>248</v>
      </c>
      <c r="E53" s="169">
        <v>1</v>
      </c>
      <c r="F53" s="66">
        <v>5.0000000000000001E-4</v>
      </c>
      <c r="G53" s="67">
        <v>5.0000000000000001E-4</v>
      </c>
      <c r="H53" s="67">
        <v>5.0000000000000001E-4</v>
      </c>
      <c r="I53" s="67">
        <v>5.0000000000000001E-4</v>
      </c>
      <c r="J53" s="67">
        <v>5.0000000000000001E-4</v>
      </c>
      <c r="K53" s="68">
        <f>J53</f>
        <v>5.0000000000000001E-4</v>
      </c>
      <c r="L53" s="68">
        <f t="shared" ref="L53:N53" si="15">K53</f>
        <v>5.0000000000000001E-4</v>
      </c>
      <c r="M53" s="68">
        <f t="shared" si="15"/>
        <v>5.0000000000000001E-4</v>
      </c>
      <c r="N53" s="68">
        <f t="shared" si="15"/>
        <v>5.0000000000000001E-4</v>
      </c>
      <c r="O53" s="69">
        <f>N53</f>
        <v>5.0000000000000001E-4</v>
      </c>
    </row>
    <row r="54" spans="2:15">
      <c r="B54" s="60" t="s">
        <v>249</v>
      </c>
      <c r="E54" s="169">
        <v>2</v>
      </c>
      <c r="F54" s="70">
        <v>3.0000000000000001E-3</v>
      </c>
      <c r="G54" s="71">
        <v>3.0000000000000001E-3</v>
      </c>
      <c r="H54" s="71">
        <v>3.0000000000000001E-3</v>
      </c>
      <c r="I54" s="71">
        <v>3.0000000000000001E-3</v>
      </c>
      <c r="J54" s="71">
        <v>3.0000000000000001E-3</v>
      </c>
      <c r="K54" s="72">
        <v>3.0000000000000001E-3</v>
      </c>
      <c r="L54" s="72">
        <v>3.0000000000000001E-3</v>
      </c>
      <c r="M54" s="72">
        <v>3.0000000000000001E-3</v>
      </c>
      <c r="N54" s="72">
        <v>3.0000000000000001E-3</v>
      </c>
      <c r="O54" s="73">
        <v>3.0000000000000001E-3</v>
      </c>
    </row>
    <row r="55" spans="2:15">
      <c r="B55" s="60" t="s">
        <v>250</v>
      </c>
      <c r="E55" s="169">
        <v>3</v>
      </c>
      <c r="F55" s="70">
        <v>5.0000000000000001E-3</v>
      </c>
      <c r="G55" s="71">
        <v>5.0000000000000001E-3</v>
      </c>
      <c r="H55" s="71">
        <v>5.0000000000000001E-3</v>
      </c>
      <c r="I55" s="71">
        <v>5.0000000000000001E-3</v>
      </c>
      <c r="J55" s="71">
        <v>5.0000000000000001E-3</v>
      </c>
      <c r="K55" s="72">
        <v>5.0000000000000001E-3</v>
      </c>
      <c r="L55" s="72">
        <v>5.0000000000000001E-3</v>
      </c>
      <c r="M55" s="72">
        <v>5.0000000000000001E-3</v>
      </c>
      <c r="N55" s="72">
        <v>5.0000000000000001E-3</v>
      </c>
      <c r="O55" s="73">
        <v>5.0000000000000001E-3</v>
      </c>
    </row>
    <row r="56" spans="2:15">
      <c r="B56" s="60" t="s">
        <v>251</v>
      </c>
      <c r="E56" s="169">
        <v>4</v>
      </c>
      <c r="F56" s="70">
        <v>6.0000000000000001E-3</v>
      </c>
      <c r="G56" s="71">
        <v>6.0000000000000001E-3</v>
      </c>
      <c r="H56" s="71">
        <v>6.0000000000000001E-3</v>
      </c>
      <c r="I56" s="71">
        <v>6.0000000000000001E-3</v>
      </c>
      <c r="J56" s="71">
        <v>6.0000000000000001E-3</v>
      </c>
      <c r="K56" s="72">
        <v>6.0000000000000001E-3</v>
      </c>
      <c r="L56" s="72">
        <v>6.0000000000000001E-3</v>
      </c>
      <c r="M56" s="72">
        <v>6.0000000000000001E-3</v>
      </c>
      <c r="N56" s="72">
        <v>6.0000000000000001E-3</v>
      </c>
      <c r="O56" s="73">
        <v>6.0000000000000001E-3</v>
      </c>
    </row>
    <row r="57" spans="2:15">
      <c r="B57" s="60" t="s">
        <v>252</v>
      </c>
      <c r="E57" s="176">
        <v>5</v>
      </c>
      <c r="F57" s="74">
        <v>7.0000000000000001E-3</v>
      </c>
      <c r="G57" s="75">
        <v>7.0000000000000001E-3</v>
      </c>
      <c r="H57" s="75">
        <v>7.0000000000000001E-3</v>
      </c>
      <c r="I57" s="75">
        <v>7.0000000000000001E-3</v>
      </c>
      <c r="J57" s="75">
        <v>7.0000000000000001E-3</v>
      </c>
      <c r="K57" s="76">
        <v>7.0000000000000001E-3</v>
      </c>
      <c r="L57" s="76">
        <v>7.0000000000000001E-3</v>
      </c>
      <c r="M57" s="76">
        <v>7.0000000000000001E-3</v>
      </c>
      <c r="N57" s="76">
        <v>7.0000000000000001E-3</v>
      </c>
      <c r="O57" s="77">
        <v>7.0000000000000001E-3</v>
      </c>
    </row>
  </sheetData>
  <mergeCells count="1">
    <mergeCell ref="F4:O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8B465-835B-674A-B8A7-23129EBBE15A}">
  <sheetPr codeName="Sheet10"/>
  <dimension ref="A1:O50"/>
  <sheetViews>
    <sheetView showGridLines="0" zoomScale="83" workbookViewId="0">
      <selection activeCell="C34" sqref="C34"/>
    </sheetView>
  </sheetViews>
  <sheetFormatPr baseColWidth="10" defaultColWidth="8.83203125" defaultRowHeight="16"/>
  <cols>
    <col min="1" max="4" width="10.83203125" style="159" customWidth="1"/>
    <col min="5" max="5" width="10.83203125" style="160" customWidth="1"/>
    <col min="6" max="15" width="13.5" style="159" customWidth="1"/>
    <col min="16" max="16384" width="8.83203125" style="159"/>
  </cols>
  <sheetData>
    <row r="1" spans="1:15" s="158" customFormat="1" ht="13">
      <c r="A1" s="157"/>
    </row>
    <row r="2" spans="1:15">
      <c r="A2" s="157"/>
    </row>
    <row r="3" spans="1:15">
      <c r="A3" s="161"/>
      <c r="B3" s="113" t="s">
        <v>376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61"/>
      <c r="B4" s="161"/>
      <c r="C4" s="161"/>
      <c r="D4" s="161"/>
      <c r="E4" s="162"/>
      <c r="F4" s="867" t="s">
        <v>245</v>
      </c>
      <c r="G4" s="867"/>
      <c r="H4" s="867"/>
      <c r="I4" s="867"/>
      <c r="J4" s="867"/>
      <c r="K4" s="867"/>
      <c r="L4" s="867"/>
      <c r="M4" s="867"/>
      <c r="N4" s="867"/>
      <c r="O4" s="867"/>
    </row>
    <row r="5" spans="1:15">
      <c r="A5" s="161"/>
      <c r="B5" s="60"/>
      <c r="C5" s="161"/>
      <c r="D5" s="161"/>
      <c r="E5" s="162"/>
      <c r="F5" s="61">
        <v>1</v>
      </c>
      <c r="G5" s="61">
        <v>2</v>
      </c>
      <c r="H5" s="61">
        <v>3</v>
      </c>
      <c r="I5" s="61">
        <v>4</v>
      </c>
      <c r="J5" s="61">
        <v>5</v>
      </c>
      <c r="K5" s="61">
        <v>6</v>
      </c>
      <c r="L5" s="61">
        <v>7</v>
      </c>
      <c r="M5" s="61">
        <v>8</v>
      </c>
      <c r="N5" s="61">
        <v>9</v>
      </c>
      <c r="O5" s="61">
        <v>10</v>
      </c>
    </row>
    <row r="6" spans="1:15" s="164" customFormat="1" ht="13">
      <c r="A6" s="163"/>
      <c r="B6" s="60"/>
      <c r="C6" s="161"/>
      <c r="D6" s="161"/>
      <c r="E6" s="162"/>
      <c r="F6" s="62">
        <v>2020</v>
      </c>
      <c r="G6" s="62">
        <v>2021</v>
      </c>
      <c r="H6" s="62">
        <v>2022</v>
      </c>
      <c r="I6" s="62">
        <v>2023</v>
      </c>
      <c r="J6" s="62">
        <v>2024</v>
      </c>
      <c r="K6" s="62">
        <f>+J6+1</f>
        <v>2025</v>
      </c>
      <c r="L6" s="62">
        <f>+K6+1</f>
        <v>2026</v>
      </c>
      <c r="M6" s="62">
        <f>+L6+1</f>
        <v>2027</v>
      </c>
      <c r="N6" s="62">
        <f>+M6+1</f>
        <v>2028</v>
      </c>
      <c r="O6" s="62">
        <f>+N6+1</f>
        <v>2029</v>
      </c>
    </row>
    <row r="7" spans="1:15">
      <c r="A7" s="157"/>
      <c r="B7" s="60"/>
      <c r="C7" s="161"/>
      <c r="D7" s="161"/>
      <c r="E7" s="162"/>
      <c r="F7" s="95"/>
      <c r="G7" s="95"/>
      <c r="H7" s="95"/>
      <c r="I7" s="95"/>
      <c r="J7" s="95"/>
      <c r="K7" s="95"/>
      <c r="L7" s="95"/>
      <c r="M7" s="95"/>
      <c r="N7" s="95"/>
      <c r="O7" s="95"/>
    </row>
    <row r="8" spans="1:15">
      <c r="A8" s="157"/>
      <c r="B8" s="96" t="s">
        <v>377</v>
      </c>
      <c r="C8" s="165"/>
      <c r="D8" s="165"/>
      <c r="E8" s="166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5">
      <c r="A9" s="157"/>
      <c r="B9" s="97" t="s">
        <v>378</v>
      </c>
      <c r="C9" s="161"/>
      <c r="D9" s="161"/>
      <c r="E9" s="162"/>
      <c r="F9" s="156">
        <f>CHOOSE(IS!$C$4,F10,F11,F12,F13,F14)</f>
        <v>5.8</v>
      </c>
      <c r="G9" s="156">
        <f>CHOOSE(IS!$C$4,G10,G11,G12,G13,G14)</f>
        <v>5.8</v>
      </c>
      <c r="H9" s="156">
        <f>CHOOSE(IS!$C$4,H10,H11,H12,H13,H14)</f>
        <v>5.8</v>
      </c>
      <c r="I9" s="156">
        <f>CHOOSE(IS!$C$4,I10,I11,I12,I13,I14)</f>
        <v>5.8</v>
      </c>
      <c r="J9" s="156">
        <f>CHOOSE(IS!$C$4,J10,J11,J12,J13,J14)</f>
        <v>5.8</v>
      </c>
      <c r="K9" s="156">
        <f>CHOOSE(IS!$C$4,K10,K11,K12,K13,K14)</f>
        <v>5.8</v>
      </c>
      <c r="L9" s="156">
        <f>CHOOSE(IS!$C$4,L10,L11,L12,L13,L14)</f>
        <v>5.8</v>
      </c>
      <c r="M9" s="156">
        <f>CHOOSE(IS!$C$4,M10,M11,M12,M13,M14)</f>
        <v>5.8</v>
      </c>
      <c r="N9" s="156">
        <f>CHOOSE(IS!$C$4,N10,N11,N12,N13,N14)</f>
        <v>5.8</v>
      </c>
      <c r="O9" s="156">
        <f>CHOOSE(IS!$C$4,O10,O11,O12,O13,O14)</f>
        <v>5.8</v>
      </c>
    </row>
    <row r="10" spans="1:15">
      <c r="A10" s="157"/>
      <c r="B10" s="60" t="s">
        <v>248</v>
      </c>
      <c r="C10" s="161"/>
      <c r="D10" s="161"/>
      <c r="E10" s="167">
        <v>1</v>
      </c>
      <c r="F10" s="98">
        <v>5.8</v>
      </c>
      <c r="G10" s="99">
        <v>5.8</v>
      </c>
      <c r="H10" s="99">
        <v>5.8</v>
      </c>
      <c r="I10" s="99">
        <v>5.8</v>
      </c>
      <c r="J10" s="99">
        <v>5.8</v>
      </c>
      <c r="K10" s="100">
        <f t="shared" ref="K10:O14" si="0">+J10</f>
        <v>5.8</v>
      </c>
      <c r="L10" s="100">
        <f t="shared" si="0"/>
        <v>5.8</v>
      </c>
      <c r="M10" s="100">
        <f t="shared" si="0"/>
        <v>5.8</v>
      </c>
      <c r="N10" s="100">
        <f t="shared" si="0"/>
        <v>5.8</v>
      </c>
      <c r="O10" s="101">
        <f t="shared" si="0"/>
        <v>5.8</v>
      </c>
    </row>
    <row r="11" spans="1:15">
      <c r="A11" s="157"/>
      <c r="B11" s="60" t="s">
        <v>249</v>
      </c>
      <c r="C11" s="161"/>
      <c r="D11" s="161"/>
      <c r="E11" s="167">
        <v>2</v>
      </c>
      <c r="F11" s="102">
        <v>6.5</v>
      </c>
      <c r="G11" s="103">
        <v>6.5</v>
      </c>
      <c r="H11" s="103">
        <v>6.5</v>
      </c>
      <c r="I11" s="103">
        <v>6.5</v>
      </c>
      <c r="J11" s="103">
        <v>6.5</v>
      </c>
      <c r="K11" s="104">
        <f t="shared" si="0"/>
        <v>6.5</v>
      </c>
      <c r="L11" s="104">
        <f t="shared" si="0"/>
        <v>6.5</v>
      </c>
      <c r="M11" s="104">
        <f t="shared" si="0"/>
        <v>6.5</v>
      </c>
      <c r="N11" s="104">
        <f t="shared" si="0"/>
        <v>6.5</v>
      </c>
      <c r="O11" s="105">
        <f t="shared" si="0"/>
        <v>6.5</v>
      </c>
    </row>
    <row r="12" spans="1:15">
      <c r="A12" s="157"/>
      <c r="B12" s="60" t="s">
        <v>250</v>
      </c>
      <c r="C12" s="161"/>
      <c r="D12" s="161"/>
      <c r="E12" s="167">
        <v>3</v>
      </c>
      <c r="F12" s="102">
        <v>6</v>
      </c>
      <c r="G12" s="103">
        <v>6</v>
      </c>
      <c r="H12" s="103">
        <v>5.5</v>
      </c>
      <c r="I12" s="103">
        <v>5.5</v>
      </c>
      <c r="J12" s="103">
        <v>5</v>
      </c>
      <c r="K12" s="104">
        <f t="shared" si="0"/>
        <v>5</v>
      </c>
      <c r="L12" s="104">
        <f t="shared" si="0"/>
        <v>5</v>
      </c>
      <c r="M12" s="104">
        <f t="shared" si="0"/>
        <v>5</v>
      </c>
      <c r="N12" s="104">
        <f t="shared" si="0"/>
        <v>5</v>
      </c>
      <c r="O12" s="105">
        <f t="shared" si="0"/>
        <v>5</v>
      </c>
    </row>
    <row r="13" spans="1:15">
      <c r="A13" s="157"/>
      <c r="B13" s="60" t="s">
        <v>251</v>
      </c>
      <c r="C13" s="161"/>
      <c r="D13" s="161"/>
      <c r="E13" s="167">
        <v>4</v>
      </c>
      <c r="F13" s="102">
        <v>5.6</v>
      </c>
      <c r="G13" s="103">
        <v>5.6</v>
      </c>
      <c r="H13" s="103">
        <v>5.6</v>
      </c>
      <c r="I13" s="103">
        <v>5.6</v>
      </c>
      <c r="J13" s="103">
        <v>5.6</v>
      </c>
      <c r="K13" s="104">
        <f t="shared" si="0"/>
        <v>5.6</v>
      </c>
      <c r="L13" s="104">
        <f t="shared" si="0"/>
        <v>5.6</v>
      </c>
      <c r="M13" s="104">
        <f t="shared" si="0"/>
        <v>5.6</v>
      </c>
      <c r="N13" s="104">
        <f t="shared" si="0"/>
        <v>5.6</v>
      </c>
      <c r="O13" s="105">
        <f t="shared" si="0"/>
        <v>5.6</v>
      </c>
    </row>
    <row r="14" spans="1:15">
      <c r="A14" s="157"/>
      <c r="B14" s="60" t="s">
        <v>252</v>
      </c>
      <c r="C14" s="161"/>
      <c r="D14" s="161"/>
      <c r="E14" s="167">
        <v>5</v>
      </c>
      <c r="F14" s="106">
        <v>5.2</v>
      </c>
      <c r="G14" s="107">
        <v>5.2</v>
      </c>
      <c r="H14" s="107">
        <v>5.2</v>
      </c>
      <c r="I14" s="107">
        <v>5.2</v>
      </c>
      <c r="J14" s="107">
        <v>5.2</v>
      </c>
      <c r="K14" s="108">
        <f t="shared" si="0"/>
        <v>5.2</v>
      </c>
      <c r="L14" s="108">
        <f t="shared" si="0"/>
        <v>5.2</v>
      </c>
      <c r="M14" s="108">
        <f t="shared" si="0"/>
        <v>5.2</v>
      </c>
      <c r="N14" s="108">
        <f t="shared" si="0"/>
        <v>5.2</v>
      </c>
      <c r="O14" s="109">
        <f t="shared" si="0"/>
        <v>5.2</v>
      </c>
    </row>
    <row r="15" spans="1:15">
      <c r="A15" s="157"/>
      <c r="B15" s="60"/>
      <c r="C15" s="161"/>
      <c r="D15" s="161"/>
      <c r="E15" s="167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>
      <c r="A16" s="157"/>
      <c r="B16" s="97" t="s">
        <v>379</v>
      </c>
      <c r="C16" s="161"/>
      <c r="D16" s="161"/>
      <c r="E16" s="167"/>
      <c r="F16" s="156">
        <f>CHOOSE(IS!$C$4,F17,F18,F19,F20,F21)</f>
        <v>70</v>
      </c>
      <c r="G16" s="156">
        <f>CHOOSE(IS!$C$4,G17,G18,G19,G20,G21)</f>
        <v>70</v>
      </c>
      <c r="H16" s="156">
        <f>CHOOSE(IS!$C$4,H17,H18,H19,H20,H21)</f>
        <v>70</v>
      </c>
      <c r="I16" s="156">
        <f>CHOOSE(IS!$C$4,I17,I18,I19,I20,I21)</f>
        <v>70</v>
      </c>
      <c r="J16" s="156">
        <f>CHOOSE(IS!$C$4,J17,J18,J19,J20,J21)</f>
        <v>70</v>
      </c>
      <c r="K16" s="156">
        <f>CHOOSE(IS!$C$4,K17,K18,K19,K20,K21)</f>
        <v>70</v>
      </c>
      <c r="L16" s="156">
        <f>CHOOSE(IS!$C$4,L17,L18,L19,L20,L21)</f>
        <v>70</v>
      </c>
      <c r="M16" s="156">
        <f>CHOOSE(IS!$C$4,M17,M18,M19,M20,M21)</f>
        <v>70</v>
      </c>
      <c r="N16" s="156">
        <f>CHOOSE(IS!$C$4,N17,N18,N19,N20,N21)</f>
        <v>70</v>
      </c>
      <c r="O16" s="156">
        <f>CHOOSE(IS!$C$4,O17,O18,O19,O20,O21)</f>
        <v>70</v>
      </c>
    </row>
    <row r="17" spans="1:15">
      <c r="A17" s="157"/>
      <c r="B17" s="60" t="s">
        <v>248</v>
      </c>
      <c r="C17" s="161"/>
      <c r="D17" s="161"/>
      <c r="E17" s="167">
        <v>1</v>
      </c>
      <c r="F17" s="98">
        <v>70</v>
      </c>
      <c r="G17" s="99">
        <v>70</v>
      </c>
      <c r="H17" s="99">
        <v>70</v>
      </c>
      <c r="I17" s="99">
        <v>70</v>
      </c>
      <c r="J17" s="99">
        <v>70</v>
      </c>
      <c r="K17" s="100">
        <f t="shared" ref="K17:O21" si="1">+J17</f>
        <v>70</v>
      </c>
      <c r="L17" s="100">
        <f t="shared" si="1"/>
        <v>70</v>
      </c>
      <c r="M17" s="100">
        <f t="shared" si="1"/>
        <v>70</v>
      </c>
      <c r="N17" s="100">
        <f t="shared" si="1"/>
        <v>70</v>
      </c>
      <c r="O17" s="101">
        <f t="shared" si="1"/>
        <v>70</v>
      </c>
    </row>
    <row r="18" spans="1:15">
      <c r="A18" s="157"/>
      <c r="B18" s="60" t="s">
        <v>249</v>
      </c>
      <c r="C18" s="161"/>
      <c r="D18" s="161"/>
      <c r="E18" s="167">
        <v>2</v>
      </c>
      <c r="F18" s="102">
        <v>75</v>
      </c>
      <c r="G18" s="103">
        <v>75</v>
      </c>
      <c r="H18" s="103">
        <v>75</v>
      </c>
      <c r="I18" s="103">
        <v>75</v>
      </c>
      <c r="J18" s="103">
        <v>75</v>
      </c>
      <c r="K18" s="104">
        <f t="shared" si="1"/>
        <v>75</v>
      </c>
      <c r="L18" s="104">
        <f t="shared" si="1"/>
        <v>75</v>
      </c>
      <c r="M18" s="104">
        <f t="shared" si="1"/>
        <v>75</v>
      </c>
      <c r="N18" s="104">
        <f t="shared" si="1"/>
        <v>75</v>
      </c>
      <c r="O18" s="105">
        <f t="shared" si="1"/>
        <v>75</v>
      </c>
    </row>
    <row r="19" spans="1:15">
      <c r="A19" s="157"/>
      <c r="B19" s="60" t="s">
        <v>250</v>
      </c>
      <c r="C19" s="161"/>
      <c r="D19" s="161"/>
      <c r="E19" s="167">
        <v>3</v>
      </c>
      <c r="F19" s="102">
        <v>72</v>
      </c>
      <c r="G19" s="103">
        <v>72</v>
      </c>
      <c r="H19" s="103">
        <v>72</v>
      </c>
      <c r="I19" s="103">
        <v>72</v>
      </c>
      <c r="J19" s="103">
        <v>72</v>
      </c>
      <c r="K19" s="104">
        <f t="shared" si="1"/>
        <v>72</v>
      </c>
      <c r="L19" s="104">
        <f t="shared" si="1"/>
        <v>72</v>
      </c>
      <c r="M19" s="104">
        <f t="shared" si="1"/>
        <v>72</v>
      </c>
      <c r="N19" s="104">
        <f t="shared" si="1"/>
        <v>72</v>
      </c>
      <c r="O19" s="105">
        <f t="shared" si="1"/>
        <v>72</v>
      </c>
    </row>
    <row r="20" spans="1:15">
      <c r="A20" s="157"/>
      <c r="B20" s="60" t="s">
        <v>251</v>
      </c>
      <c r="C20" s="161"/>
      <c r="D20" s="161"/>
      <c r="E20" s="167">
        <v>4</v>
      </c>
      <c r="F20" s="102">
        <v>68</v>
      </c>
      <c r="G20" s="103">
        <v>68</v>
      </c>
      <c r="H20" s="103">
        <v>68</v>
      </c>
      <c r="I20" s="103">
        <v>68</v>
      </c>
      <c r="J20" s="103">
        <v>68</v>
      </c>
      <c r="K20" s="104">
        <f t="shared" si="1"/>
        <v>68</v>
      </c>
      <c r="L20" s="104">
        <f t="shared" si="1"/>
        <v>68</v>
      </c>
      <c r="M20" s="104">
        <f t="shared" si="1"/>
        <v>68</v>
      </c>
      <c r="N20" s="104">
        <f t="shared" si="1"/>
        <v>68</v>
      </c>
      <c r="O20" s="105">
        <f t="shared" si="1"/>
        <v>68</v>
      </c>
    </row>
    <row r="21" spans="1:15">
      <c r="A21" s="157"/>
      <c r="B21" s="60" t="s">
        <v>252</v>
      </c>
      <c r="C21" s="161"/>
      <c r="D21" s="161"/>
      <c r="E21" s="167">
        <v>5</v>
      </c>
      <c r="F21" s="106">
        <v>66</v>
      </c>
      <c r="G21" s="107">
        <v>66</v>
      </c>
      <c r="H21" s="107">
        <v>66</v>
      </c>
      <c r="I21" s="107">
        <v>66</v>
      </c>
      <c r="J21" s="107">
        <v>66</v>
      </c>
      <c r="K21" s="108">
        <f t="shared" si="1"/>
        <v>66</v>
      </c>
      <c r="L21" s="108">
        <f t="shared" si="1"/>
        <v>66</v>
      </c>
      <c r="M21" s="108">
        <f t="shared" si="1"/>
        <v>66</v>
      </c>
      <c r="N21" s="108">
        <f t="shared" si="1"/>
        <v>66</v>
      </c>
      <c r="O21" s="109">
        <f t="shared" si="1"/>
        <v>66</v>
      </c>
    </row>
    <row r="22" spans="1:15">
      <c r="A22" s="157"/>
      <c r="B22" s="60"/>
      <c r="C22" s="161"/>
      <c r="D22" s="161"/>
      <c r="E22" s="167"/>
      <c r="F22" s="95"/>
      <c r="G22" s="95"/>
      <c r="H22" s="95"/>
      <c r="I22" s="95"/>
      <c r="J22" s="95"/>
      <c r="K22" s="95"/>
      <c r="L22" s="95"/>
      <c r="M22" s="95"/>
      <c r="N22" s="95"/>
      <c r="O22" s="95"/>
    </row>
    <row r="23" spans="1:15">
      <c r="A23" s="157"/>
      <c r="B23" s="97" t="s">
        <v>380</v>
      </c>
      <c r="C23" s="161"/>
      <c r="D23" s="161"/>
      <c r="E23" s="167"/>
      <c r="F23" s="155">
        <f>CHOOSE(IS!$C$4,F24,F25,F26,F27,F28)</f>
        <v>3.5000000000000003E-2</v>
      </c>
      <c r="G23" s="155">
        <f>CHOOSE(IS!$C$4,G24,G25,G26,G27,G28)</f>
        <v>3.5000000000000003E-2</v>
      </c>
      <c r="H23" s="155">
        <f>CHOOSE(IS!$C$4,H24,H25,H26,H27,H28)</f>
        <v>3.5000000000000003E-2</v>
      </c>
      <c r="I23" s="155">
        <f>CHOOSE(IS!$C$4,I24,I25,I26,I27,I28)</f>
        <v>3.5000000000000003E-2</v>
      </c>
      <c r="J23" s="155">
        <f>CHOOSE(IS!$C$4,J24,J25,J26,J27,J28)</f>
        <v>3.5000000000000003E-2</v>
      </c>
      <c r="K23" s="155">
        <f>CHOOSE(IS!$C$4,K24,K25,K26,K27,K28)</f>
        <v>3.5000000000000003E-2</v>
      </c>
      <c r="L23" s="155">
        <f>CHOOSE(IS!$C$4,L24,L25,L26,L27,L28)</f>
        <v>3.5000000000000003E-2</v>
      </c>
      <c r="M23" s="155">
        <f>CHOOSE(IS!$C$4,M24,M25,M26,M27,M28)</f>
        <v>3.5000000000000003E-2</v>
      </c>
      <c r="N23" s="155">
        <f>CHOOSE(IS!$C$4,N24,N25,N26,N27,N28)</f>
        <v>3.5000000000000003E-2</v>
      </c>
      <c r="O23" s="155">
        <f>CHOOSE(IS!$C$4,O24,O25,O26,O27,O28)</f>
        <v>3.5000000000000003E-2</v>
      </c>
    </row>
    <row r="24" spans="1:15">
      <c r="A24" s="157"/>
      <c r="B24" s="60" t="s">
        <v>248</v>
      </c>
      <c r="C24" s="161"/>
      <c r="D24" s="161"/>
      <c r="E24" s="167">
        <v>1</v>
      </c>
      <c r="F24" s="66">
        <v>3.5000000000000003E-2</v>
      </c>
      <c r="G24" s="67">
        <v>3.5000000000000003E-2</v>
      </c>
      <c r="H24" s="67">
        <v>3.5000000000000003E-2</v>
      </c>
      <c r="I24" s="67">
        <v>3.5000000000000003E-2</v>
      </c>
      <c r="J24" s="67">
        <v>3.5000000000000003E-2</v>
      </c>
      <c r="K24" s="68">
        <f t="shared" ref="K24:O28" si="2">+J24</f>
        <v>3.5000000000000003E-2</v>
      </c>
      <c r="L24" s="68">
        <f t="shared" si="2"/>
        <v>3.5000000000000003E-2</v>
      </c>
      <c r="M24" s="68">
        <f t="shared" si="2"/>
        <v>3.5000000000000003E-2</v>
      </c>
      <c r="N24" s="68">
        <f t="shared" si="2"/>
        <v>3.5000000000000003E-2</v>
      </c>
      <c r="O24" s="69">
        <f t="shared" si="2"/>
        <v>3.5000000000000003E-2</v>
      </c>
    </row>
    <row r="25" spans="1:15">
      <c r="A25" s="157"/>
      <c r="B25" s="60" t="s">
        <v>249</v>
      </c>
      <c r="C25" s="161"/>
      <c r="D25" s="161"/>
      <c r="E25" s="167">
        <v>2</v>
      </c>
      <c r="F25" s="70">
        <v>0.04</v>
      </c>
      <c r="G25" s="71">
        <v>0.04</v>
      </c>
      <c r="H25" s="71">
        <v>0.04</v>
      </c>
      <c r="I25" s="71">
        <v>0.04</v>
      </c>
      <c r="J25" s="71">
        <v>0.04</v>
      </c>
      <c r="K25" s="72">
        <f t="shared" si="2"/>
        <v>0.04</v>
      </c>
      <c r="L25" s="72">
        <f t="shared" si="2"/>
        <v>0.04</v>
      </c>
      <c r="M25" s="72">
        <f t="shared" si="2"/>
        <v>0.04</v>
      </c>
      <c r="N25" s="72">
        <f t="shared" si="2"/>
        <v>0.04</v>
      </c>
      <c r="O25" s="73">
        <f t="shared" si="2"/>
        <v>0.04</v>
      </c>
    </row>
    <row r="26" spans="1:15">
      <c r="A26" s="157"/>
      <c r="B26" s="60" t="s">
        <v>250</v>
      </c>
      <c r="C26" s="161"/>
      <c r="D26" s="161"/>
      <c r="E26" s="167">
        <v>3</v>
      </c>
      <c r="F26" s="70">
        <v>3.7499999999999999E-2</v>
      </c>
      <c r="G26" s="71">
        <v>3.7499999999999999E-2</v>
      </c>
      <c r="H26" s="71">
        <v>3.7499999999999999E-2</v>
      </c>
      <c r="I26" s="71">
        <v>3.7499999999999999E-2</v>
      </c>
      <c r="J26" s="71">
        <v>3.7499999999999999E-2</v>
      </c>
      <c r="K26" s="72">
        <f t="shared" si="2"/>
        <v>3.7499999999999999E-2</v>
      </c>
      <c r="L26" s="72">
        <f t="shared" si="2"/>
        <v>3.7499999999999999E-2</v>
      </c>
      <c r="M26" s="72">
        <f t="shared" si="2"/>
        <v>3.7499999999999999E-2</v>
      </c>
      <c r="N26" s="72">
        <f t="shared" si="2"/>
        <v>3.7499999999999999E-2</v>
      </c>
      <c r="O26" s="73">
        <f t="shared" si="2"/>
        <v>3.7499999999999999E-2</v>
      </c>
    </row>
    <row r="27" spans="1:15">
      <c r="A27" s="157"/>
      <c r="B27" s="60" t="s">
        <v>251</v>
      </c>
      <c r="C27" s="161"/>
      <c r="D27" s="161"/>
      <c r="E27" s="167">
        <v>4</v>
      </c>
      <c r="F27" s="70">
        <v>3.2000000000000001E-2</v>
      </c>
      <c r="G27" s="71">
        <v>3.2000000000000001E-2</v>
      </c>
      <c r="H27" s="71">
        <v>3.2000000000000001E-2</v>
      </c>
      <c r="I27" s="71">
        <v>3.2000000000000001E-2</v>
      </c>
      <c r="J27" s="71">
        <v>3.2000000000000001E-2</v>
      </c>
      <c r="K27" s="72">
        <f t="shared" si="2"/>
        <v>3.2000000000000001E-2</v>
      </c>
      <c r="L27" s="72">
        <f t="shared" si="2"/>
        <v>3.2000000000000001E-2</v>
      </c>
      <c r="M27" s="72">
        <f t="shared" si="2"/>
        <v>3.2000000000000001E-2</v>
      </c>
      <c r="N27" s="72">
        <f t="shared" si="2"/>
        <v>3.2000000000000001E-2</v>
      </c>
      <c r="O27" s="73">
        <f t="shared" si="2"/>
        <v>3.2000000000000001E-2</v>
      </c>
    </row>
    <row r="28" spans="1:15">
      <c r="A28" s="157"/>
      <c r="B28" s="60" t="s">
        <v>252</v>
      </c>
      <c r="C28" s="161"/>
      <c r="D28" s="161"/>
      <c r="E28" s="167">
        <v>5</v>
      </c>
      <c r="F28" s="74">
        <v>0.03</v>
      </c>
      <c r="G28" s="75">
        <v>0.03</v>
      </c>
      <c r="H28" s="75">
        <v>0.03</v>
      </c>
      <c r="I28" s="75">
        <v>0.03</v>
      </c>
      <c r="J28" s="75">
        <v>0.03</v>
      </c>
      <c r="K28" s="76">
        <f t="shared" si="2"/>
        <v>0.03</v>
      </c>
      <c r="L28" s="76">
        <f t="shared" si="2"/>
        <v>0.03</v>
      </c>
      <c r="M28" s="76">
        <f t="shared" si="2"/>
        <v>0.03</v>
      </c>
      <c r="N28" s="76">
        <f t="shared" si="2"/>
        <v>0.03</v>
      </c>
      <c r="O28" s="77">
        <f t="shared" si="2"/>
        <v>0.03</v>
      </c>
    </row>
    <row r="29" spans="1:15">
      <c r="A29" s="157"/>
      <c r="B29" s="60"/>
      <c r="C29" s="161"/>
      <c r="D29" s="161"/>
      <c r="E29" s="167"/>
      <c r="F29" s="95"/>
      <c r="G29" s="95"/>
      <c r="H29" s="95"/>
      <c r="I29" s="95"/>
      <c r="J29" s="95"/>
      <c r="K29" s="95"/>
      <c r="L29" s="95"/>
      <c r="M29" s="95"/>
      <c r="N29" s="95"/>
      <c r="O29" s="95"/>
    </row>
    <row r="30" spans="1:15">
      <c r="A30" s="157"/>
      <c r="B30" s="111" t="s">
        <v>381</v>
      </c>
      <c r="C30" s="161"/>
      <c r="D30" s="161"/>
      <c r="E30" s="167"/>
      <c r="F30" s="161"/>
      <c r="G30" s="161"/>
      <c r="H30" s="161"/>
      <c r="I30" s="161"/>
      <c r="J30" s="161"/>
      <c r="K30" s="161"/>
      <c r="L30" s="161"/>
      <c r="M30" s="161"/>
      <c r="N30" s="161"/>
      <c r="O30" s="161"/>
    </row>
    <row r="31" spans="1:15">
      <c r="A31" s="157"/>
      <c r="B31" s="97" t="s">
        <v>382</v>
      </c>
      <c r="C31" s="161"/>
      <c r="D31" s="161"/>
      <c r="E31" s="167"/>
      <c r="F31" s="156">
        <f>CHOOSE(IS!$C$4,F32,F33,F34,F35,F36)</f>
        <v>17</v>
      </c>
      <c r="G31" s="156">
        <f>CHOOSE(IS!$C$4,G32,G33,G34,G35,G36)</f>
        <v>17</v>
      </c>
      <c r="H31" s="156">
        <f>CHOOSE(IS!$C$4,H32,H33,H34,H35,H36)</f>
        <v>17</v>
      </c>
      <c r="I31" s="156">
        <f>CHOOSE(IS!$C$4,I32,I33,I34,I35,I36)</f>
        <v>17</v>
      </c>
      <c r="J31" s="156">
        <f>CHOOSE(IS!$C$4,J32,J33,J34,J35,J36)</f>
        <v>17</v>
      </c>
      <c r="K31" s="156">
        <f>CHOOSE(IS!$C$4,K32,K33,K34,K35,K36)</f>
        <v>17</v>
      </c>
      <c r="L31" s="156">
        <f>CHOOSE(IS!$C$4,L32,L33,L34,L35,L36)</f>
        <v>17</v>
      </c>
      <c r="M31" s="156">
        <f>CHOOSE(IS!$C$4,M32,M33,M34,M35,M36)</f>
        <v>17</v>
      </c>
      <c r="N31" s="156">
        <f>CHOOSE(IS!$C$4,N32,N33,N34,N35,N36)</f>
        <v>17</v>
      </c>
      <c r="O31" s="156">
        <f>CHOOSE(IS!$C$4,O32,O33,O34,O35,O36)</f>
        <v>17</v>
      </c>
    </row>
    <row r="32" spans="1:15">
      <c r="A32" s="157"/>
      <c r="B32" s="60" t="s">
        <v>248</v>
      </c>
      <c r="C32" s="161"/>
      <c r="D32" s="161"/>
      <c r="E32" s="167">
        <v>1</v>
      </c>
      <c r="F32" s="98">
        <v>17</v>
      </c>
      <c r="G32" s="99">
        <v>17</v>
      </c>
      <c r="H32" s="99">
        <v>17</v>
      </c>
      <c r="I32" s="99">
        <v>17</v>
      </c>
      <c r="J32" s="99">
        <v>17</v>
      </c>
      <c r="K32" s="100">
        <f t="shared" ref="K32:O36" si="3">+J32</f>
        <v>17</v>
      </c>
      <c r="L32" s="100">
        <f t="shared" si="3"/>
        <v>17</v>
      </c>
      <c r="M32" s="100">
        <f t="shared" si="3"/>
        <v>17</v>
      </c>
      <c r="N32" s="100">
        <f t="shared" si="3"/>
        <v>17</v>
      </c>
      <c r="O32" s="101">
        <f t="shared" si="3"/>
        <v>17</v>
      </c>
    </row>
    <row r="33" spans="1:15">
      <c r="A33" s="157"/>
      <c r="B33" s="60" t="s">
        <v>249</v>
      </c>
      <c r="C33" s="161"/>
      <c r="D33" s="161"/>
      <c r="E33" s="167">
        <v>2</v>
      </c>
      <c r="F33" s="102">
        <v>15</v>
      </c>
      <c r="G33" s="103">
        <v>15</v>
      </c>
      <c r="H33" s="103">
        <v>15</v>
      </c>
      <c r="I33" s="103">
        <v>15</v>
      </c>
      <c r="J33" s="103">
        <v>15</v>
      </c>
      <c r="K33" s="104">
        <f t="shared" si="3"/>
        <v>15</v>
      </c>
      <c r="L33" s="104">
        <f t="shared" si="3"/>
        <v>15</v>
      </c>
      <c r="M33" s="104">
        <f t="shared" si="3"/>
        <v>15</v>
      </c>
      <c r="N33" s="104">
        <f t="shared" si="3"/>
        <v>15</v>
      </c>
      <c r="O33" s="105">
        <f t="shared" si="3"/>
        <v>15</v>
      </c>
    </row>
    <row r="34" spans="1:15">
      <c r="A34" s="157"/>
      <c r="B34" s="60" t="s">
        <v>250</v>
      </c>
      <c r="C34" s="161"/>
      <c r="D34" s="161"/>
      <c r="E34" s="167">
        <v>3</v>
      </c>
      <c r="F34" s="102">
        <v>16</v>
      </c>
      <c r="G34" s="103">
        <v>16</v>
      </c>
      <c r="H34" s="103">
        <v>16</v>
      </c>
      <c r="I34" s="103">
        <v>16</v>
      </c>
      <c r="J34" s="103">
        <v>16</v>
      </c>
      <c r="K34" s="104">
        <f t="shared" si="3"/>
        <v>16</v>
      </c>
      <c r="L34" s="104">
        <f t="shared" si="3"/>
        <v>16</v>
      </c>
      <c r="M34" s="104">
        <f t="shared" si="3"/>
        <v>16</v>
      </c>
      <c r="N34" s="104">
        <f t="shared" si="3"/>
        <v>16</v>
      </c>
      <c r="O34" s="105">
        <f t="shared" si="3"/>
        <v>16</v>
      </c>
    </row>
    <row r="35" spans="1:15">
      <c r="A35" s="157"/>
      <c r="B35" s="60" t="s">
        <v>251</v>
      </c>
      <c r="C35" s="161"/>
      <c r="D35" s="161"/>
      <c r="E35" s="167">
        <v>4</v>
      </c>
      <c r="F35" s="102">
        <v>18</v>
      </c>
      <c r="G35" s="103">
        <v>18</v>
      </c>
      <c r="H35" s="103">
        <v>18</v>
      </c>
      <c r="I35" s="103">
        <v>18</v>
      </c>
      <c r="J35" s="103">
        <v>18</v>
      </c>
      <c r="K35" s="104">
        <f t="shared" si="3"/>
        <v>18</v>
      </c>
      <c r="L35" s="104">
        <f t="shared" si="3"/>
        <v>18</v>
      </c>
      <c r="M35" s="104">
        <f t="shared" si="3"/>
        <v>18</v>
      </c>
      <c r="N35" s="104">
        <f t="shared" si="3"/>
        <v>18</v>
      </c>
      <c r="O35" s="105">
        <f t="shared" si="3"/>
        <v>18</v>
      </c>
    </row>
    <row r="36" spans="1:15">
      <c r="A36" s="157"/>
      <c r="B36" s="60" t="s">
        <v>252</v>
      </c>
      <c r="C36" s="161"/>
      <c r="D36" s="161"/>
      <c r="E36" s="167">
        <v>5</v>
      </c>
      <c r="F36" s="106">
        <v>19</v>
      </c>
      <c r="G36" s="107">
        <v>19</v>
      </c>
      <c r="H36" s="107">
        <v>19</v>
      </c>
      <c r="I36" s="107">
        <v>19</v>
      </c>
      <c r="J36" s="107">
        <v>19</v>
      </c>
      <c r="K36" s="108">
        <f t="shared" si="3"/>
        <v>19</v>
      </c>
      <c r="L36" s="108">
        <f t="shared" si="3"/>
        <v>19</v>
      </c>
      <c r="M36" s="108">
        <f t="shared" si="3"/>
        <v>19</v>
      </c>
      <c r="N36" s="108">
        <f t="shared" si="3"/>
        <v>19</v>
      </c>
      <c r="O36" s="109">
        <f t="shared" si="3"/>
        <v>19</v>
      </c>
    </row>
    <row r="37" spans="1:15">
      <c r="A37" s="157"/>
      <c r="B37" s="60"/>
      <c r="C37" s="161"/>
      <c r="D37" s="161"/>
      <c r="E37" s="167"/>
      <c r="F37" s="95"/>
      <c r="G37" s="95"/>
      <c r="H37" s="95"/>
      <c r="I37" s="95"/>
      <c r="J37" s="95"/>
      <c r="K37" s="95"/>
      <c r="L37" s="95"/>
      <c r="M37" s="95"/>
      <c r="N37" s="95"/>
      <c r="O37" s="95"/>
    </row>
    <row r="38" spans="1:15">
      <c r="A38" s="157"/>
      <c r="B38" s="97" t="s">
        <v>383</v>
      </c>
      <c r="C38" s="161"/>
      <c r="D38" s="161"/>
      <c r="E38" s="167"/>
      <c r="F38" s="155">
        <f>CHOOSE(IS!$C$4,F39,F40,F41,F42,F43)</f>
        <v>7.9710144927536225E-2</v>
      </c>
      <c r="G38" s="155">
        <f>CHOOSE(IS!$C$4,G39,G40,G41,G42,G43)</f>
        <v>7.9710144927536225E-2</v>
      </c>
      <c r="H38" s="155">
        <f>CHOOSE(IS!$C$4,H39,H40,H41,H42,H43)</f>
        <v>7.9710144927536225E-2</v>
      </c>
      <c r="I38" s="155">
        <f>CHOOSE(IS!$C$4,I39,I40,I41,I42,I43)</f>
        <v>7.9710144927536225E-2</v>
      </c>
      <c r="J38" s="155">
        <f>CHOOSE(IS!$C$4,J39,J40,J41,J42,J43)</f>
        <v>7.9710144927536225E-2</v>
      </c>
      <c r="K38" s="155">
        <f>CHOOSE(IS!$C$4,K39,K40,K41,K42,K43)</f>
        <v>7.9710144927536225E-2</v>
      </c>
      <c r="L38" s="155">
        <f>CHOOSE(IS!$C$4,L39,L40,L41,L42,L43)</f>
        <v>7.9710144927536225E-2</v>
      </c>
      <c r="M38" s="155">
        <f>CHOOSE(IS!$C$4,M39,M40,M41,M42,M43)</f>
        <v>7.9710144927536225E-2</v>
      </c>
      <c r="N38" s="155">
        <f>CHOOSE(IS!$C$4,N39,N40,N41,N42,N43)</f>
        <v>7.9710144927536225E-2</v>
      </c>
      <c r="O38" s="155">
        <f>CHOOSE(IS!$C$4,O39,O40,O41,O42,O43)</f>
        <v>7.9710144927536225E-2</v>
      </c>
    </row>
    <row r="39" spans="1:15">
      <c r="A39" s="157"/>
      <c r="B39" s="60" t="s">
        <v>248</v>
      </c>
      <c r="C39" s="161"/>
      <c r="D39" s="161"/>
      <c r="E39" s="167">
        <v>1</v>
      </c>
      <c r="F39" s="66">
        <v>7.9710144927536225E-2</v>
      </c>
      <c r="G39" s="67">
        <v>7.9710144927536225E-2</v>
      </c>
      <c r="H39" s="67">
        <v>7.9710144927536225E-2</v>
      </c>
      <c r="I39" s="67">
        <v>7.9710144927536225E-2</v>
      </c>
      <c r="J39" s="67">
        <v>7.9710144927536225E-2</v>
      </c>
      <c r="K39" s="68">
        <f t="shared" ref="K39:O43" si="4">+J39</f>
        <v>7.9710144927536225E-2</v>
      </c>
      <c r="L39" s="68">
        <f t="shared" si="4"/>
        <v>7.9710144927536225E-2</v>
      </c>
      <c r="M39" s="68">
        <f t="shared" si="4"/>
        <v>7.9710144927536225E-2</v>
      </c>
      <c r="N39" s="68">
        <f t="shared" si="4"/>
        <v>7.9710144927536225E-2</v>
      </c>
      <c r="O39" s="69">
        <f t="shared" si="4"/>
        <v>7.9710144927536225E-2</v>
      </c>
    </row>
    <row r="40" spans="1:15">
      <c r="A40" s="157"/>
      <c r="B40" s="60" t="s">
        <v>249</v>
      </c>
      <c r="C40" s="161"/>
      <c r="D40" s="161"/>
      <c r="E40" s="167">
        <v>2</v>
      </c>
      <c r="F40" s="70">
        <v>0.06</v>
      </c>
      <c r="G40" s="71">
        <v>0.06</v>
      </c>
      <c r="H40" s="71">
        <v>0.06</v>
      </c>
      <c r="I40" s="71">
        <v>0.06</v>
      </c>
      <c r="J40" s="71">
        <v>0.06</v>
      </c>
      <c r="K40" s="72">
        <f t="shared" si="4"/>
        <v>0.06</v>
      </c>
      <c r="L40" s="72">
        <f t="shared" si="4"/>
        <v>0.06</v>
      </c>
      <c r="M40" s="72">
        <f t="shared" si="4"/>
        <v>0.06</v>
      </c>
      <c r="N40" s="72">
        <f t="shared" si="4"/>
        <v>0.06</v>
      </c>
      <c r="O40" s="73">
        <f t="shared" si="4"/>
        <v>0.06</v>
      </c>
    </row>
    <row r="41" spans="1:15">
      <c r="A41" s="157"/>
      <c r="B41" s="60" t="s">
        <v>250</v>
      </c>
      <c r="C41" s="161"/>
      <c r="D41" s="161"/>
      <c r="E41" s="167">
        <v>3</v>
      </c>
      <c r="F41" s="70">
        <v>7.0000000000000007E-2</v>
      </c>
      <c r="G41" s="71">
        <v>7.0000000000000007E-2</v>
      </c>
      <c r="H41" s="71">
        <v>7.0000000000000007E-2</v>
      </c>
      <c r="I41" s="71">
        <v>7.0000000000000007E-2</v>
      </c>
      <c r="J41" s="71">
        <v>7.0000000000000007E-2</v>
      </c>
      <c r="K41" s="72">
        <f t="shared" si="4"/>
        <v>7.0000000000000007E-2</v>
      </c>
      <c r="L41" s="72">
        <f t="shared" si="4"/>
        <v>7.0000000000000007E-2</v>
      </c>
      <c r="M41" s="72">
        <f t="shared" si="4"/>
        <v>7.0000000000000007E-2</v>
      </c>
      <c r="N41" s="72">
        <f t="shared" si="4"/>
        <v>7.0000000000000007E-2</v>
      </c>
      <c r="O41" s="73">
        <f t="shared" si="4"/>
        <v>7.0000000000000007E-2</v>
      </c>
    </row>
    <row r="42" spans="1:15">
      <c r="A42" s="163"/>
      <c r="B42" s="60" t="s">
        <v>251</v>
      </c>
      <c r="C42" s="161"/>
      <c r="D42" s="161"/>
      <c r="E42" s="167">
        <v>4</v>
      </c>
      <c r="F42" s="70">
        <v>0.09</v>
      </c>
      <c r="G42" s="71">
        <v>0.09</v>
      </c>
      <c r="H42" s="71">
        <v>0.09</v>
      </c>
      <c r="I42" s="71">
        <v>0.09</v>
      </c>
      <c r="J42" s="71">
        <v>0.09</v>
      </c>
      <c r="K42" s="72">
        <f t="shared" si="4"/>
        <v>0.09</v>
      </c>
      <c r="L42" s="72">
        <f t="shared" si="4"/>
        <v>0.09</v>
      </c>
      <c r="M42" s="72">
        <f t="shared" si="4"/>
        <v>0.09</v>
      </c>
      <c r="N42" s="72">
        <f t="shared" si="4"/>
        <v>0.09</v>
      </c>
      <c r="O42" s="73">
        <f t="shared" si="4"/>
        <v>0.09</v>
      </c>
    </row>
    <row r="43" spans="1:15">
      <c r="A43" s="157"/>
      <c r="B43" s="60" t="s">
        <v>252</v>
      </c>
      <c r="C43" s="161"/>
      <c r="D43" s="161"/>
      <c r="E43" s="167">
        <v>5</v>
      </c>
      <c r="F43" s="74">
        <v>0.1</v>
      </c>
      <c r="G43" s="75">
        <v>0.1</v>
      </c>
      <c r="H43" s="75">
        <v>0.1</v>
      </c>
      <c r="I43" s="75">
        <v>0.1</v>
      </c>
      <c r="J43" s="75">
        <v>0.1</v>
      </c>
      <c r="K43" s="76">
        <f t="shared" si="4"/>
        <v>0.1</v>
      </c>
      <c r="L43" s="76">
        <f t="shared" si="4"/>
        <v>0.1</v>
      </c>
      <c r="M43" s="76">
        <f t="shared" si="4"/>
        <v>0.1</v>
      </c>
      <c r="N43" s="76">
        <f t="shared" si="4"/>
        <v>0.1</v>
      </c>
      <c r="O43" s="77">
        <f t="shared" si="4"/>
        <v>0.1</v>
      </c>
    </row>
    <row r="44" spans="1:15">
      <c r="A44" s="157"/>
      <c r="B44" s="60"/>
      <c r="C44" s="161"/>
      <c r="D44" s="161"/>
      <c r="E44" s="167"/>
      <c r="F44" s="112"/>
      <c r="G44" s="112"/>
      <c r="H44" s="112"/>
      <c r="I44" s="112"/>
      <c r="J44" s="112"/>
      <c r="K44" s="112"/>
      <c r="L44" s="112"/>
      <c r="M44" s="112"/>
      <c r="N44" s="112"/>
      <c r="O44" s="112"/>
    </row>
    <row r="45" spans="1:15">
      <c r="A45" s="157"/>
      <c r="B45" s="97" t="s">
        <v>384</v>
      </c>
      <c r="C45" s="161"/>
      <c r="D45" s="161"/>
      <c r="E45" s="167"/>
      <c r="F45" s="155">
        <f>CHOOSE(IS!$C$4,F46,F47,F48,F49,F50)</f>
        <v>2.8985507246376812E-2</v>
      </c>
      <c r="G45" s="155">
        <f>CHOOSE(IS!$C$4,G46,G47,G48,G49,G50)</f>
        <v>2.8985507246376812E-2</v>
      </c>
      <c r="H45" s="155">
        <f>CHOOSE(IS!$C$4,H46,H47,H48,H49,H50)</f>
        <v>2.8985507246376812E-2</v>
      </c>
      <c r="I45" s="155">
        <f>CHOOSE(IS!$C$4,I46,I47,I48,I49,I50)</f>
        <v>2.8985507246376812E-2</v>
      </c>
      <c r="J45" s="155">
        <f>CHOOSE(IS!$C$4,J46,J47,J48,J49,J50)</f>
        <v>2.8985507246376812E-2</v>
      </c>
      <c r="K45" s="155">
        <f>CHOOSE(IS!$C$4,K46,K47,K48,K49,K50)</f>
        <v>2.8985507246376812E-2</v>
      </c>
      <c r="L45" s="155">
        <f>CHOOSE(IS!$C$4,L46,L47,L48,L49,L50)</f>
        <v>2.8985507246376812E-2</v>
      </c>
      <c r="M45" s="155">
        <f>CHOOSE(IS!$C$4,M46,M47,M48,M49,M50)</f>
        <v>2.8985507246376812E-2</v>
      </c>
      <c r="N45" s="155">
        <f>CHOOSE(IS!$C$4,N46,N47,N48,N49,N50)</f>
        <v>2.8985507246376812E-2</v>
      </c>
      <c r="O45" s="155">
        <f>CHOOSE(IS!$C$4,O46,O47,O48,O49,O50)</f>
        <v>2.8985507246376812E-2</v>
      </c>
    </row>
    <row r="46" spans="1:15">
      <c r="A46" s="157"/>
      <c r="B46" s="60" t="s">
        <v>248</v>
      </c>
      <c r="C46" s="161"/>
      <c r="D46" s="161"/>
      <c r="E46" s="167">
        <v>1</v>
      </c>
      <c r="F46" s="66">
        <v>2.8985507246376812E-2</v>
      </c>
      <c r="G46" s="67">
        <v>2.8985507246376812E-2</v>
      </c>
      <c r="H46" s="67">
        <v>2.8985507246376812E-2</v>
      </c>
      <c r="I46" s="67">
        <v>2.8985507246376812E-2</v>
      </c>
      <c r="J46" s="67">
        <v>2.8985507246376812E-2</v>
      </c>
      <c r="K46" s="68">
        <f t="shared" ref="K46:O50" si="5">+J46</f>
        <v>2.8985507246376812E-2</v>
      </c>
      <c r="L46" s="68">
        <f t="shared" si="5"/>
        <v>2.8985507246376812E-2</v>
      </c>
      <c r="M46" s="68">
        <f t="shared" si="5"/>
        <v>2.8985507246376812E-2</v>
      </c>
      <c r="N46" s="68">
        <f t="shared" si="5"/>
        <v>2.8985507246376812E-2</v>
      </c>
      <c r="O46" s="69">
        <f t="shared" si="5"/>
        <v>2.8985507246376812E-2</v>
      </c>
    </row>
    <row r="47" spans="1:15">
      <c r="A47" s="157"/>
      <c r="B47" s="60" t="s">
        <v>249</v>
      </c>
      <c r="C47" s="161"/>
      <c r="D47" s="161"/>
      <c r="E47" s="167">
        <v>2</v>
      </c>
      <c r="F47" s="70">
        <v>2.5000000000000001E-2</v>
      </c>
      <c r="G47" s="71">
        <v>2.5000000000000001E-2</v>
      </c>
      <c r="H47" s="71">
        <v>2.5000000000000001E-2</v>
      </c>
      <c r="I47" s="71">
        <v>2.5000000000000001E-2</v>
      </c>
      <c r="J47" s="71">
        <v>2.5000000000000001E-2</v>
      </c>
      <c r="K47" s="72">
        <f t="shared" si="5"/>
        <v>2.5000000000000001E-2</v>
      </c>
      <c r="L47" s="72">
        <f t="shared" si="5"/>
        <v>2.5000000000000001E-2</v>
      </c>
      <c r="M47" s="72">
        <f t="shared" si="5"/>
        <v>2.5000000000000001E-2</v>
      </c>
      <c r="N47" s="72">
        <f t="shared" si="5"/>
        <v>2.5000000000000001E-2</v>
      </c>
      <c r="O47" s="73">
        <f t="shared" si="5"/>
        <v>2.5000000000000001E-2</v>
      </c>
    </row>
    <row r="48" spans="1:15">
      <c r="A48" s="157"/>
      <c r="B48" s="60" t="s">
        <v>250</v>
      </c>
      <c r="C48" s="161"/>
      <c r="D48" s="161"/>
      <c r="E48" s="167">
        <v>3</v>
      </c>
      <c r="F48" s="70">
        <v>2.5000000000000001E-2</v>
      </c>
      <c r="G48" s="71">
        <v>2.5000000000000001E-2</v>
      </c>
      <c r="H48" s="71">
        <v>2.5000000000000001E-2</v>
      </c>
      <c r="I48" s="71">
        <v>2.5000000000000001E-2</v>
      </c>
      <c r="J48" s="71">
        <v>2.5000000000000001E-2</v>
      </c>
      <c r="K48" s="72">
        <f t="shared" si="5"/>
        <v>2.5000000000000001E-2</v>
      </c>
      <c r="L48" s="72">
        <f t="shared" si="5"/>
        <v>2.5000000000000001E-2</v>
      </c>
      <c r="M48" s="72">
        <f t="shared" si="5"/>
        <v>2.5000000000000001E-2</v>
      </c>
      <c r="N48" s="72">
        <f t="shared" si="5"/>
        <v>2.5000000000000001E-2</v>
      </c>
      <c r="O48" s="73">
        <f t="shared" si="5"/>
        <v>2.5000000000000001E-2</v>
      </c>
    </row>
    <row r="49" spans="2:15">
      <c r="B49" s="60" t="s">
        <v>251</v>
      </c>
      <c r="C49" s="161"/>
      <c r="D49" s="161"/>
      <c r="E49" s="167">
        <v>4</v>
      </c>
      <c r="F49" s="70">
        <v>2.5000000000000001E-2</v>
      </c>
      <c r="G49" s="71">
        <v>2.5000000000000001E-2</v>
      </c>
      <c r="H49" s="71">
        <v>2.5000000000000001E-2</v>
      </c>
      <c r="I49" s="71">
        <v>2.5000000000000001E-2</v>
      </c>
      <c r="J49" s="71">
        <v>2.5000000000000001E-2</v>
      </c>
      <c r="K49" s="72">
        <f t="shared" si="5"/>
        <v>2.5000000000000001E-2</v>
      </c>
      <c r="L49" s="72">
        <f t="shared" si="5"/>
        <v>2.5000000000000001E-2</v>
      </c>
      <c r="M49" s="72">
        <f t="shared" si="5"/>
        <v>2.5000000000000001E-2</v>
      </c>
      <c r="N49" s="72">
        <f t="shared" si="5"/>
        <v>2.5000000000000001E-2</v>
      </c>
      <c r="O49" s="73">
        <f t="shared" si="5"/>
        <v>2.5000000000000001E-2</v>
      </c>
    </row>
    <row r="50" spans="2:15">
      <c r="B50" s="60" t="s">
        <v>252</v>
      </c>
      <c r="C50" s="161"/>
      <c r="D50" s="161"/>
      <c r="E50" s="167">
        <v>5</v>
      </c>
      <c r="F50" s="74">
        <v>2.5000000000000001E-2</v>
      </c>
      <c r="G50" s="75">
        <v>2.5000000000000001E-2</v>
      </c>
      <c r="H50" s="75">
        <v>2.5000000000000001E-2</v>
      </c>
      <c r="I50" s="75">
        <v>2.5000000000000001E-2</v>
      </c>
      <c r="J50" s="75">
        <v>2.5000000000000001E-2</v>
      </c>
      <c r="K50" s="76">
        <f t="shared" si="5"/>
        <v>2.5000000000000001E-2</v>
      </c>
      <c r="L50" s="76">
        <f t="shared" si="5"/>
        <v>2.5000000000000001E-2</v>
      </c>
      <c r="M50" s="76">
        <f t="shared" si="5"/>
        <v>2.5000000000000001E-2</v>
      </c>
      <c r="N50" s="76">
        <f t="shared" si="5"/>
        <v>2.5000000000000001E-2</v>
      </c>
      <c r="O50" s="77">
        <f t="shared" si="5"/>
        <v>2.5000000000000001E-2</v>
      </c>
    </row>
  </sheetData>
  <mergeCells count="1">
    <mergeCell ref="F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IS</vt:lpstr>
      <vt:lpstr>BS</vt:lpstr>
      <vt:lpstr>CF</vt:lpstr>
      <vt:lpstr>NWC</vt:lpstr>
      <vt:lpstr>WACC</vt:lpstr>
      <vt:lpstr>Comparables</vt:lpstr>
      <vt:lpstr>Valuation</vt:lpstr>
      <vt:lpstr>AS1</vt:lpstr>
      <vt:lpstr>AS2</vt:lpstr>
      <vt:lpstr>SO</vt:lpstr>
      <vt:lpstr>STATS</vt:lpstr>
      <vt:lpstr>Nuuly Subscribers Pivot</vt:lpstr>
      <vt:lpstr>Number of Stores</vt:lpstr>
      <vt:lpstr>Economic &amp; Market Data</vt:lpstr>
      <vt:lpstr>Sales by Segment</vt:lpstr>
      <vt:lpstr>IS-Metrics</vt:lpstr>
      <vt:lpstr>COMP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Constantin Döbert</dc:creator>
  <cp:lastModifiedBy>Constantin Döbert</cp:lastModifiedBy>
  <dcterms:created xsi:type="dcterms:W3CDTF">2024-09-07T16:03:38Z</dcterms:created>
  <dcterms:modified xsi:type="dcterms:W3CDTF">2025-04-23T14:46:39Z</dcterms:modified>
</cp:coreProperties>
</file>